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rabw-my.sharepoint.com/personal/merapelo_tautona_bera_co_bw/Documents/"/>
    </mc:Choice>
  </mc:AlternateContent>
  <xr:revisionPtr revIDLastSave="0" documentId="8_{11A6CD68-E7D3-4A3C-96EA-9ACB745BDC3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eptember 2024" sheetId="14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4" l="1"/>
  <c r="B13" i="14"/>
  <c r="D62" i="14"/>
  <c r="E62" i="14"/>
  <c r="C62" i="14"/>
  <c r="K62" i="14" l="1"/>
  <c r="L62" i="14"/>
  <c r="J62" i="14"/>
  <c r="K64" i="14"/>
  <c r="L64" i="14"/>
  <c r="M64" i="14"/>
  <c r="J64" i="14"/>
  <c r="B14" i="14" l="1"/>
  <c r="K68" i="14" l="1"/>
  <c r="L68" i="14"/>
  <c r="J68" i="14"/>
  <c r="H68" i="14"/>
  <c r="K57" i="14"/>
  <c r="L57" i="14"/>
  <c r="M57" i="14"/>
  <c r="J57" i="14"/>
  <c r="K54" i="14"/>
  <c r="L54" i="14"/>
  <c r="M54" i="14"/>
  <c r="J54" i="14"/>
  <c r="C33" i="14" l="1"/>
  <c r="L10" i="14" l="1"/>
  <c r="C50" i="14" l="1"/>
  <c r="K56" i="14"/>
  <c r="E59" i="14"/>
  <c r="L59" i="14"/>
  <c r="D59" i="14"/>
  <c r="K59" i="14"/>
  <c r="C59" i="14"/>
  <c r="J59" i="14"/>
  <c r="C48" i="14"/>
  <c r="D48" i="14" s="1"/>
  <c r="E35" i="14"/>
  <c r="E34" i="14" s="1"/>
  <c r="I14" i="14"/>
  <c r="C27" i="14"/>
  <c r="D1" i="14"/>
  <c r="J1" i="14"/>
  <c r="K1" i="14" s="1"/>
  <c r="K72" i="14" s="1"/>
  <c r="L1" i="14"/>
  <c r="L72" i="14" s="1"/>
  <c r="M1" i="14"/>
  <c r="M72" i="14" s="1"/>
  <c r="J2" i="14"/>
  <c r="L2" i="14"/>
  <c r="L73" i="14" s="1"/>
  <c r="M2" i="14"/>
  <c r="M73" i="14" s="1"/>
  <c r="H4" i="14"/>
  <c r="I4" i="14"/>
  <c r="L27" i="14" s="1"/>
  <c r="H5" i="14"/>
  <c r="I5" i="14"/>
  <c r="J28" i="14" s="1"/>
  <c r="H6" i="14"/>
  <c r="I6" i="14"/>
  <c r="K29" i="14" s="1"/>
  <c r="H7" i="14"/>
  <c r="J7" i="14"/>
  <c r="J30" i="14" s="1"/>
  <c r="K7" i="14"/>
  <c r="K30" i="14" s="1"/>
  <c r="L7" i="14"/>
  <c r="L30" i="14" s="1"/>
  <c r="M7" i="14"/>
  <c r="M30" i="14" s="1"/>
  <c r="H8" i="14"/>
  <c r="I8" i="14"/>
  <c r="D31" i="14" s="1"/>
  <c r="H9" i="14"/>
  <c r="I9" i="14"/>
  <c r="H10" i="14"/>
  <c r="J10" i="14"/>
  <c r="J35" i="14" s="1"/>
  <c r="J34" i="14" s="1"/>
  <c r="K10" i="14"/>
  <c r="K35" i="14" s="1"/>
  <c r="K34" i="14" s="1"/>
  <c r="L35" i="14"/>
  <c r="L34" i="14" s="1"/>
  <c r="M10" i="14"/>
  <c r="M35" i="14" s="1"/>
  <c r="M34" i="14" s="1"/>
  <c r="A11" i="14"/>
  <c r="A43" i="14" s="1"/>
  <c r="H43" i="14" s="1"/>
  <c r="I11" i="14"/>
  <c r="H12" i="14"/>
  <c r="H15" i="14"/>
  <c r="I15" i="14"/>
  <c r="C16" i="14"/>
  <c r="J16" i="14" s="1"/>
  <c r="D16" i="14"/>
  <c r="K16" i="14" s="1"/>
  <c r="E16" i="14"/>
  <c r="L16" i="14" s="1"/>
  <c r="F16" i="14"/>
  <c r="M16" i="14" s="1"/>
  <c r="I16" i="14"/>
  <c r="H18" i="14"/>
  <c r="H19" i="14"/>
  <c r="A20" i="14"/>
  <c r="H20" i="14"/>
  <c r="C22" i="14"/>
  <c r="D22" i="14" s="1"/>
  <c r="E22" i="14"/>
  <c r="L22" i="14" s="1"/>
  <c r="F22" i="14"/>
  <c r="M22" i="14" s="1"/>
  <c r="C23" i="14"/>
  <c r="J23" i="14" s="1"/>
  <c r="E23" i="14"/>
  <c r="L23" i="14" s="1"/>
  <c r="F23" i="14"/>
  <c r="M23" i="14" s="1"/>
  <c r="H24" i="14"/>
  <c r="D25" i="14"/>
  <c r="K25" i="14" s="1"/>
  <c r="H25" i="14"/>
  <c r="J25" i="14"/>
  <c r="L25" i="14"/>
  <c r="M25" i="14"/>
  <c r="D26" i="14"/>
  <c r="K26" i="14" s="1"/>
  <c r="H26" i="14"/>
  <c r="J26" i="14"/>
  <c r="L26" i="14"/>
  <c r="M26" i="14"/>
  <c r="D27" i="14"/>
  <c r="E27" i="14"/>
  <c r="F27" i="14"/>
  <c r="H27" i="14"/>
  <c r="C28" i="14"/>
  <c r="C45" i="14" s="1"/>
  <c r="D28" i="14"/>
  <c r="E28" i="14"/>
  <c r="E43" i="14" s="1"/>
  <c r="F28" i="14"/>
  <c r="F43" i="14" s="1"/>
  <c r="H28" i="14"/>
  <c r="A29" i="14"/>
  <c r="H29" i="14" s="1"/>
  <c r="C29" i="14"/>
  <c r="D29" i="14"/>
  <c r="E29" i="14"/>
  <c r="F29" i="14"/>
  <c r="C30" i="14"/>
  <c r="D30" i="14"/>
  <c r="E30" i="14"/>
  <c r="F30" i="14"/>
  <c r="H30" i="14"/>
  <c r="A31" i="14"/>
  <c r="H31" i="14" s="1"/>
  <c r="C31" i="14"/>
  <c r="E31" i="14"/>
  <c r="F31" i="14"/>
  <c r="H32" i="14"/>
  <c r="D33" i="14"/>
  <c r="E33" i="14"/>
  <c r="F33" i="14"/>
  <c r="H33" i="14"/>
  <c r="J33" i="14"/>
  <c r="K33" i="14"/>
  <c r="L33" i="14"/>
  <c r="M33" i="14"/>
  <c r="H34" i="14"/>
  <c r="C35" i="14"/>
  <c r="C34" i="14" s="1"/>
  <c r="D35" i="14"/>
  <c r="D34" i="14" s="1"/>
  <c r="F35" i="14"/>
  <c r="F34" i="14" s="1"/>
  <c r="H35" i="14"/>
  <c r="H36" i="14"/>
  <c r="H37" i="14"/>
  <c r="H38" i="14"/>
  <c r="A39" i="14"/>
  <c r="H39" i="14" s="1"/>
  <c r="H41" i="14"/>
  <c r="H42" i="14"/>
  <c r="H44" i="14"/>
  <c r="H45" i="14"/>
  <c r="H46" i="14"/>
  <c r="H47" i="14"/>
  <c r="F50" i="14"/>
  <c r="H50" i="14"/>
  <c r="H51" i="14"/>
  <c r="H52" i="14"/>
  <c r="H53" i="14"/>
  <c r="H54" i="14"/>
  <c r="C56" i="14"/>
  <c r="D56" i="14"/>
  <c r="E56" i="14"/>
  <c r="F56" i="14"/>
  <c r="H56" i="14"/>
  <c r="J56" i="14"/>
  <c r="L56" i="14"/>
  <c r="M56" i="14"/>
  <c r="H57" i="14"/>
  <c r="C58" i="14"/>
  <c r="J58" i="14" s="1"/>
  <c r="K58" i="14" s="1"/>
  <c r="H58" i="14"/>
  <c r="M58" i="14"/>
  <c r="H59" i="14"/>
  <c r="M59" i="14"/>
  <c r="H60" i="14"/>
  <c r="H61" i="14"/>
  <c r="J61" i="14"/>
  <c r="K61" i="14"/>
  <c r="L61" i="14"/>
  <c r="H62" i="14"/>
  <c r="H63" i="14"/>
  <c r="H64" i="14"/>
  <c r="L65" i="14"/>
  <c r="M65" i="14"/>
  <c r="H65" i="14"/>
  <c r="K65" i="14"/>
  <c r="L66" i="14"/>
  <c r="M66" i="14"/>
  <c r="H66" i="14"/>
  <c r="K66" i="14"/>
  <c r="H67" i="14"/>
  <c r="J67" i="14"/>
  <c r="K67" i="14"/>
  <c r="L67" i="14"/>
  <c r="M67" i="14"/>
  <c r="H69" i="14"/>
  <c r="H71" i="14"/>
  <c r="C72" i="14"/>
  <c r="D72" i="14"/>
  <c r="E72" i="14"/>
  <c r="F72" i="14"/>
  <c r="C73" i="14"/>
  <c r="D73" i="14"/>
  <c r="E73" i="14"/>
  <c r="F73" i="14"/>
  <c r="J73" i="14"/>
  <c r="K73" i="14"/>
  <c r="J72" i="14"/>
  <c r="I12" i="14"/>
  <c r="C49" i="14"/>
  <c r="J49" i="14" s="1"/>
  <c r="I13" i="14"/>
  <c r="D43" i="14" l="1"/>
  <c r="H11" i="14"/>
  <c r="L31" i="14"/>
  <c r="M31" i="14"/>
  <c r="K31" i="14"/>
  <c r="E32" i="14"/>
  <c r="L32" i="14" s="1"/>
  <c r="L38" i="14" s="1"/>
  <c r="D32" i="14"/>
  <c r="K32" i="14" s="1"/>
  <c r="J22" i="14"/>
  <c r="K22" i="14" s="1"/>
  <c r="F32" i="14"/>
  <c r="M32" i="14" s="1"/>
  <c r="C32" i="14"/>
  <c r="J31" i="14"/>
  <c r="F45" i="14"/>
  <c r="M29" i="14"/>
  <c r="J29" i="14"/>
  <c r="L29" i="14"/>
  <c r="C37" i="14"/>
  <c r="M28" i="14"/>
  <c r="M45" i="14" s="1"/>
  <c r="J48" i="14"/>
  <c r="L48" i="14" s="1"/>
  <c r="J50" i="14"/>
  <c r="K50" i="14" s="1"/>
  <c r="L28" i="14"/>
  <c r="L45" i="14" s="1"/>
  <c r="F37" i="14"/>
  <c r="K27" i="14"/>
  <c r="K28" i="14"/>
  <c r="E48" i="14"/>
  <c r="E45" i="14"/>
  <c r="J27" i="14"/>
  <c r="D50" i="14"/>
  <c r="E50" i="14"/>
  <c r="M27" i="14"/>
  <c r="C43" i="14"/>
  <c r="D58" i="14"/>
  <c r="E58" i="14" s="1"/>
  <c r="L58" i="14" s="1"/>
  <c r="D37" i="14"/>
  <c r="L37" i="14"/>
  <c r="E37" i="14"/>
  <c r="J45" i="14"/>
  <c r="J43" i="14"/>
  <c r="D49" i="14"/>
  <c r="K49" i="14" s="1"/>
  <c r="M50" i="14"/>
  <c r="E49" i="14"/>
  <c r="L49" i="14" s="1"/>
  <c r="D45" i="14"/>
  <c r="F38" i="14" l="1"/>
  <c r="F39" i="14" s="1"/>
  <c r="F41" i="14" s="1"/>
  <c r="F42" i="14" s="1"/>
  <c r="F44" i="14" s="1"/>
  <c r="F46" i="14" s="1"/>
  <c r="F47" i="14" s="1"/>
  <c r="F51" i="14" s="1"/>
  <c r="F69" i="14" s="1"/>
  <c r="F71" i="14" s="1"/>
  <c r="E38" i="14"/>
  <c r="E39" i="14" s="1"/>
  <c r="E41" i="14" s="1"/>
  <c r="E42" i="14" s="1"/>
  <c r="E44" i="14" s="1"/>
  <c r="E46" i="14" s="1"/>
  <c r="E47" i="14" s="1"/>
  <c r="E51" i="14" s="1"/>
  <c r="E69" i="14" s="1"/>
  <c r="E71" i="14" s="1"/>
  <c r="K38" i="14"/>
  <c r="D38" i="14"/>
  <c r="D39" i="14" s="1"/>
  <c r="D41" i="14" s="1"/>
  <c r="J32" i="14"/>
  <c r="C38" i="14"/>
  <c r="C39" i="14" s="1"/>
  <c r="C41" i="14" s="1"/>
  <c r="C42" i="14" s="1"/>
  <c r="C44" i="14" s="1"/>
  <c r="L50" i="14"/>
  <c r="M38" i="14"/>
  <c r="J38" i="14"/>
  <c r="M43" i="14"/>
  <c r="L43" i="14"/>
  <c r="K37" i="14"/>
  <c r="M37" i="14"/>
  <c r="K48" i="14"/>
  <c r="L39" i="14"/>
  <c r="L41" i="14" s="1"/>
  <c r="L42" i="14" s="1"/>
  <c r="K45" i="14"/>
  <c r="K43" i="14"/>
  <c r="J37" i="14"/>
  <c r="K39" i="14" l="1"/>
  <c r="K41" i="14" s="1"/>
  <c r="K42" i="14" s="1"/>
  <c r="K44" i="14" s="1"/>
  <c r="J39" i="14"/>
  <c r="J41" i="14" s="1"/>
  <c r="J42" i="14" s="1"/>
  <c r="M39" i="14"/>
  <c r="M41" i="14" s="1"/>
  <c r="M42" i="14" s="1"/>
  <c r="L44" i="14"/>
  <c r="L46" i="14" s="1"/>
  <c r="L47" i="14" s="1"/>
  <c r="L51" i="14" s="1"/>
  <c r="L69" i="14" s="1"/>
  <c r="L71" i="14" s="1"/>
  <c r="C46" i="14"/>
  <c r="C47" i="14" s="1"/>
  <c r="D42" i="14"/>
  <c r="D44" i="14" s="1"/>
  <c r="J44" i="14" l="1"/>
  <c r="J46" i="14" s="1"/>
  <c r="J47" i="14" s="1"/>
  <c r="J51" i="14" s="1"/>
  <c r="J69" i="14" s="1"/>
  <c r="J71" i="14" s="1"/>
  <c r="M44" i="14"/>
  <c r="M46" i="14" s="1"/>
  <c r="M47" i="14" s="1"/>
  <c r="M51" i="14" s="1"/>
  <c r="M69" i="14" s="1"/>
  <c r="M71" i="14" s="1"/>
  <c r="C51" i="14"/>
  <c r="C69" i="14" s="1"/>
  <c r="C71" i="14" s="1"/>
  <c r="K46" i="14"/>
  <c r="K47" i="14" s="1"/>
  <c r="K51" i="14" s="1"/>
  <c r="K69" i="14" s="1"/>
  <c r="K71" i="14" s="1"/>
  <c r="D46" i="14"/>
  <c r="D47" i="14" s="1"/>
  <c r="D51" i="14" s="1"/>
  <c r="D69" i="14" s="1"/>
  <c r="D71" i="14" s="1"/>
</calcChain>
</file>

<file path=xl/sharedStrings.xml><?xml version="1.0" encoding="utf-8"?>
<sst xmlns="http://schemas.openxmlformats.org/spreadsheetml/2006/main" count="74" uniqueCount="62">
  <si>
    <t xml:space="preserve">Avg. FOB $Bbl </t>
  </si>
  <si>
    <t>Mogas</t>
  </si>
  <si>
    <t>Gasoil</t>
  </si>
  <si>
    <t>Illum</t>
  </si>
  <si>
    <t xml:space="preserve"> Para.</t>
  </si>
  <si>
    <t>INPUT</t>
  </si>
  <si>
    <t>Standard Densities</t>
  </si>
  <si>
    <t>Conversion Factors</t>
  </si>
  <si>
    <t>Basic Fuel Price Calculation</t>
  </si>
  <si>
    <t>Freight plus demurrage</t>
  </si>
  <si>
    <t>C.I.F.</t>
  </si>
  <si>
    <t>Coastal Storage</t>
  </si>
  <si>
    <t>Coastal Stock Financing Cost</t>
  </si>
  <si>
    <t>Slate Calculation</t>
  </si>
  <si>
    <t>Pump Prices</t>
  </si>
  <si>
    <t>Less:    Dealers Margin</t>
  </si>
  <si>
    <t>Items to INPUT</t>
  </si>
  <si>
    <t>Demurrage $ per ton per day</t>
  </si>
  <si>
    <t>Insurance %</t>
  </si>
  <si>
    <t>to</t>
  </si>
  <si>
    <t>Avg. Worldscale Freight USc/mt.</t>
  </si>
  <si>
    <t>Avg. FOB - USc/USg ($Bbl /42=USc/US gal.)</t>
  </si>
  <si>
    <t>Ocean Leakage: 0.3% of CIF</t>
  </si>
  <si>
    <t>Landed Cost at Durban</t>
  </si>
  <si>
    <t>Wholesale selling price</t>
  </si>
  <si>
    <t>- Road Delivery</t>
  </si>
  <si>
    <t>Industry BFP Unit Rate Slate  - BOTSWANA</t>
  </si>
  <si>
    <t>F.O.B.-Botswana thebe/litre</t>
  </si>
  <si>
    <t xml:space="preserve">Exchange rate : customs (Avg mth Rand/Pula) </t>
  </si>
  <si>
    <t>Avg. Worldscale Freight - USc/mt. - Durban</t>
  </si>
  <si>
    <t>93 ULP</t>
  </si>
  <si>
    <t>DUTY (at customs rate)</t>
  </si>
  <si>
    <t>- Fuel Levy</t>
  </si>
  <si>
    <t>- Road Fund</t>
  </si>
  <si>
    <t>- MVA Levy</t>
  </si>
  <si>
    <t>- National  Petrol Fund Levy</t>
  </si>
  <si>
    <t>- Grid Differential</t>
  </si>
  <si>
    <t>- IMPORT PARITY GABORONE</t>
  </si>
  <si>
    <t>Coastal Storage c/l</t>
  </si>
  <si>
    <t>Basic Fuels Price at Durban thebe /litre</t>
  </si>
  <si>
    <t xml:space="preserve">Exchange rate : customs (Avg mth Rand/BWP) </t>
  </si>
  <si>
    <t>IMPORT PARITY GABORONE thebe /litre</t>
  </si>
  <si>
    <t>SA Standard Bank Prime Average for month</t>
  </si>
  <si>
    <t xml:space="preserve">         Industry Margins</t>
  </si>
  <si>
    <t>95ULP</t>
  </si>
  <si>
    <t>Pipeline (Durban- Tarlton) thebe/litre</t>
  </si>
  <si>
    <t>Storage &amp; Handling cost Tarlton thebe/litre</t>
  </si>
  <si>
    <t>Storage &amp; Handling cost Tarlton  SA c/l</t>
  </si>
  <si>
    <t>Pipeline (Durban- Tarlton) SA c/l</t>
  </si>
  <si>
    <t>Unit  Over/(Under)  Recovery thebe/litre (BFP Basis)</t>
  </si>
  <si>
    <t>Railage Tarlton/Gaborone  SA c/l</t>
  </si>
  <si>
    <t>Railage Tarlton/Gaborone thebe/litre</t>
  </si>
  <si>
    <t>Exchange Rate (Average month BWP/$)</t>
  </si>
  <si>
    <t>Exchange rate (Avg mth BWP/$) 3 Banks Selling rate</t>
  </si>
  <si>
    <t>0.005%S</t>
  </si>
  <si>
    <t xml:space="preserve"> Security of Supply Margin</t>
  </si>
  <si>
    <t xml:space="preserve"> </t>
  </si>
  <si>
    <t>Platts Freight Usc/Mt</t>
  </si>
  <si>
    <t>Worldscale plus demurrage</t>
  </si>
  <si>
    <t>-BERA Fee</t>
  </si>
  <si>
    <t xml:space="preserve"> -Railage (Gaborone- Francistown) moved to NPF </t>
  </si>
  <si>
    <t>- Depot Storage &amp; Handling - moved to NPF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</si>
</sst>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0.000"/>
    <numFmt numFmtId="165" formatCode="mmmm\-yyyy"/>
    <numFmt numFmtId="166" formatCode="0.0000_);\(0.0000\)"/>
    <numFmt numFmtId="167" formatCode="0.000_);\(0.000\)"/>
    <numFmt numFmtId="168" formatCode="dd\-mmmm\-yyyy"/>
  </numFmts>
  <fonts count="37" x14ac:knownFonts="1">
    <font>
      <sz val="10"/>
      <name val="Arial"/>
    </font>
    <font>
      <sz val="10"/>
      <name val="MS Sans Serif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color indexed="22"/>
      <name val="Arial"/>
      <family val="2"/>
    </font>
    <font>
      <sz val="10"/>
      <name val="Arial"/>
      <family val="2"/>
    </font>
    <font>
      <b/>
      <sz val="10"/>
      <color indexed="12"/>
      <name val="MS Sans Serif"/>
      <family val="2"/>
    </font>
    <font>
      <b/>
      <sz val="10"/>
      <color indexed="22"/>
      <name val="Arial"/>
      <family val="2"/>
    </font>
    <font>
      <b/>
      <sz val="10"/>
      <color indexed="12"/>
      <name val="Arial"/>
      <family val="2"/>
    </font>
    <font>
      <sz val="10"/>
      <color indexed="22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b/>
      <u/>
      <sz val="10"/>
      <color indexed="12"/>
      <name val="Arial"/>
      <family val="2"/>
    </font>
    <font>
      <b/>
      <sz val="10"/>
      <name val="MS Sans Serif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9FFD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9" borderId="17" applyNumberFormat="0" applyAlignment="0" applyProtection="0"/>
    <xf numFmtId="0" fontId="22" fillId="30" borderId="18" applyNumberFormat="0" applyAlignment="0" applyProtection="0"/>
    <xf numFmtId="0" fontId="23" fillId="0" borderId="0" applyNumberFormat="0" applyFill="0" applyBorder="0" applyAlignment="0" applyProtection="0"/>
    <xf numFmtId="0" fontId="24" fillId="31" borderId="0" applyNumberFormat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9" fillId="32" borderId="17" applyNumberFormat="0" applyAlignment="0" applyProtection="0"/>
    <xf numFmtId="0" fontId="30" fillId="0" borderId="22" applyNumberFormat="0" applyFill="0" applyAlignment="0" applyProtection="0"/>
    <xf numFmtId="0" fontId="31" fillId="33" borderId="0" applyNumberFormat="0" applyBorder="0" applyAlignment="0" applyProtection="0"/>
    <xf numFmtId="0" fontId="1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8" fillId="34" borderId="23" applyNumberFormat="0" applyFont="0" applyAlignment="0" applyProtection="0"/>
    <xf numFmtId="0" fontId="32" fillId="29" borderId="24" applyNumberFormat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18" fillId="0" borderId="0"/>
    <xf numFmtId="43" fontId="5" fillId="0" borderId="0" applyFont="0" applyFill="0" applyBorder="0" applyAlignment="0" applyProtection="0"/>
  </cellStyleXfs>
  <cellXfs count="107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/>
    <xf numFmtId="167" fontId="7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  <xf numFmtId="167" fontId="8" fillId="0" borderId="2" xfId="0" applyNumberFormat="1" applyFont="1" applyBorder="1" applyAlignment="1">
      <alignment horizontal="right"/>
    </xf>
    <xf numFmtId="167" fontId="6" fillId="2" borderId="0" xfId="0" applyNumberFormat="1" applyFont="1" applyFill="1" applyAlignment="1" applyProtection="1">
      <alignment horizontal="right"/>
      <protection locked="0"/>
    </xf>
    <xf numFmtId="0" fontId="2" fillId="0" borderId="3" xfId="0" applyFont="1" applyBorder="1"/>
    <xf numFmtId="166" fontId="8" fillId="2" borderId="4" xfId="0" applyNumberFormat="1" applyFont="1" applyFill="1" applyBorder="1" applyAlignment="1" applyProtection="1">
      <alignment horizontal="right"/>
      <protection locked="0"/>
    </xf>
    <xf numFmtId="166" fontId="5" fillId="0" borderId="4" xfId="0" applyNumberFormat="1" applyFont="1" applyBorder="1"/>
    <xf numFmtId="166" fontId="5" fillId="0" borderId="5" xfId="0" applyNumberFormat="1" applyFont="1" applyBorder="1"/>
    <xf numFmtId="0" fontId="3" fillId="0" borderId="0" xfId="0" applyFont="1"/>
    <xf numFmtId="0" fontId="9" fillId="0" borderId="0" xfId="0" applyFont="1"/>
    <xf numFmtId="0" fontId="3" fillId="0" borderId="1" xfId="0" applyFont="1" applyBorder="1"/>
    <xf numFmtId="0" fontId="5" fillId="0" borderId="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1" xfId="0" applyFont="1" applyBorder="1"/>
    <xf numFmtId="166" fontId="5" fillId="0" borderId="6" xfId="0" applyNumberFormat="1" applyFont="1" applyBorder="1" applyAlignment="1">
      <alignment horizontal="right"/>
    </xf>
    <xf numFmtId="166" fontId="5" fillId="0" borderId="7" xfId="0" applyNumberFormat="1" applyFont="1" applyBorder="1" applyAlignment="1">
      <alignment horizontal="right"/>
    </xf>
    <xf numFmtId="167" fontId="5" fillId="0" borderId="6" xfId="0" applyNumberFormat="1" applyFont="1" applyBorder="1" applyAlignment="1">
      <alignment horizontal="right"/>
    </xf>
    <xf numFmtId="167" fontId="5" fillId="0" borderId="7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167" fontId="2" fillId="0" borderId="9" xfId="0" applyNumberFormat="1" applyFont="1" applyBorder="1" applyAlignment="1">
      <alignment horizontal="right"/>
    </xf>
    <xf numFmtId="167" fontId="5" fillId="0" borderId="8" xfId="0" applyNumberFormat="1" applyFont="1" applyBorder="1" applyAlignment="1">
      <alignment horizontal="right"/>
    </xf>
    <xf numFmtId="167" fontId="5" fillId="0" borderId="9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3"/>
    </xf>
    <xf numFmtId="167" fontId="5" fillId="0" borderId="0" xfId="0" applyNumberFormat="1" applyFont="1" applyAlignment="1">
      <alignment horizontal="right"/>
    </xf>
    <xf numFmtId="0" fontId="5" fillId="0" borderId="1" xfId="0" quotePrefix="1" applyFont="1" applyBorder="1" applyAlignment="1">
      <alignment horizontal="left" indent="3"/>
    </xf>
    <xf numFmtId="0" fontId="3" fillId="0" borderId="3" xfId="0" applyFont="1" applyBorder="1"/>
    <xf numFmtId="0" fontId="3" fillId="0" borderId="4" xfId="0" applyFont="1" applyBorder="1"/>
    <xf numFmtId="0" fontId="1" fillId="0" borderId="0" xfId="0" applyFont="1"/>
    <xf numFmtId="167" fontId="9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167" fontId="10" fillId="0" borderId="2" xfId="0" applyNumberFormat="1" applyFont="1" applyBorder="1" applyAlignment="1">
      <alignment horizontal="right"/>
    </xf>
    <xf numFmtId="166" fontId="5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167" fontId="5" fillId="2" borderId="6" xfId="0" applyNumberFormat="1" applyFont="1" applyFill="1" applyBorder="1" applyAlignment="1" applyProtection="1">
      <alignment horizontal="right"/>
      <protection locked="0"/>
    </xf>
    <xf numFmtId="167" fontId="5" fillId="2" borderId="7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>
      <alignment horizontal="center"/>
    </xf>
    <xf numFmtId="167" fontId="5" fillId="0" borderId="2" xfId="0" applyNumberFormat="1" applyFont="1" applyBorder="1" applyAlignment="1">
      <alignment horizontal="right"/>
    </xf>
    <xf numFmtId="0" fontId="2" fillId="0" borderId="1" xfId="0" quotePrefix="1" applyFont="1" applyBorder="1" applyAlignment="1">
      <alignment horizontal="left" indent="3"/>
    </xf>
    <xf numFmtId="167" fontId="13" fillId="2" borderId="6" xfId="0" applyNumberFormat="1" applyFont="1" applyFill="1" applyBorder="1" applyAlignment="1" applyProtection="1">
      <alignment horizontal="right"/>
      <protection locked="0"/>
    </xf>
    <xf numFmtId="167" fontId="1" fillId="0" borderId="0" xfId="0" applyNumberFormat="1" applyFont="1"/>
    <xf numFmtId="167" fontId="8" fillId="2" borderId="2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right"/>
    </xf>
    <xf numFmtId="167" fontId="5" fillId="2" borderId="10" xfId="0" applyNumberFormat="1" applyFont="1" applyFill="1" applyBorder="1" applyAlignment="1" applyProtection="1">
      <alignment horizontal="right"/>
      <protection locked="0"/>
    </xf>
    <xf numFmtId="166" fontId="5" fillId="0" borderId="10" xfId="0" applyNumberFormat="1" applyFont="1" applyBorder="1" applyAlignment="1">
      <alignment horizontal="right"/>
    </xf>
    <xf numFmtId="167" fontId="5" fillId="0" borderId="10" xfId="0" applyNumberFormat="1" applyFont="1" applyBorder="1" applyAlignment="1">
      <alignment horizontal="right"/>
    </xf>
    <xf numFmtId="166" fontId="6" fillId="2" borderId="0" xfId="0" applyNumberFormat="1" applyFont="1" applyFill="1" applyAlignment="1" applyProtection="1">
      <alignment horizontal="right"/>
      <protection locked="0"/>
    </xf>
    <xf numFmtId="0" fontId="2" fillId="3" borderId="1" xfId="0" applyFont="1" applyFill="1" applyBorder="1"/>
    <xf numFmtId="0" fontId="2" fillId="3" borderId="0" xfId="0" applyFont="1" applyFill="1"/>
    <xf numFmtId="167" fontId="8" fillId="3" borderId="6" xfId="0" applyNumberFormat="1" applyFont="1" applyFill="1" applyBorder="1" applyAlignment="1" applyProtection="1">
      <alignment horizontal="right"/>
      <protection locked="0"/>
    </xf>
    <xf numFmtId="167" fontId="2" fillId="3" borderId="6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167" fontId="5" fillId="0" borderId="0" xfId="0" applyNumberFormat="1" applyFont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0" fontId="2" fillId="0" borderId="1" xfId="37" applyFont="1" applyBorder="1"/>
    <xf numFmtId="167" fontId="2" fillId="0" borderId="10" xfId="0" applyNumberFormat="1" applyFont="1" applyBorder="1" applyAlignment="1">
      <alignment horizontal="right"/>
    </xf>
    <xf numFmtId="167" fontId="1" fillId="2" borderId="10" xfId="0" applyNumberFormat="1" applyFont="1" applyFill="1" applyBorder="1" applyAlignment="1" applyProtection="1">
      <alignment horizontal="right"/>
      <protection locked="0"/>
    </xf>
    <xf numFmtId="167" fontId="1" fillId="2" borderId="6" xfId="0" applyNumberFormat="1" applyFon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66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7" fontId="1" fillId="0" borderId="2" xfId="0" applyNumberFormat="1" applyFont="1" applyBorder="1" applyAlignment="1">
      <alignment horizontal="right"/>
    </xf>
    <xf numFmtId="167" fontId="1" fillId="2" borderId="0" xfId="0" applyNumberFormat="1" applyFont="1" applyFill="1" applyAlignment="1">
      <alignment horizontal="right"/>
    </xf>
    <xf numFmtId="0" fontId="2" fillId="0" borderId="1" xfId="0" applyFont="1" applyBorder="1" applyAlignment="1">
      <alignment horizontal="left"/>
    </xf>
    <xf numFmtId="17" fontId="3" fillId="0" borderId="0" xfId="0" quotePrefix="1" applyNumberFormat="1" applyFont="1"/>
    <xf numFmtId="0" fontId="5" fillId="0" borderId="2" xfId="0" applyFont="1" applyBorder="1"/>
    <xf numFmtId="168" fontId="8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67" fontId="1" fillId="2" borderId="15" xfId="0" applyNumberFormat="1" applyFont="1" applyFill="1" applyBorder="1" applyAlignment="1" applyProtection="1">
      <alignment horizontal="right"/>
      <protection locked="0"/>
    </xf>
    <xf numFmtId="167" fontId="1" fillId="2" borderId="7" xfId="0" applyNumberFormat="1" applyFont="1" applyFill="1" applyBorder="1" applyAlignment="1" applyProtection="1">
      <alignment horizontal="right"/>
      <protection locked="0"/>
    </xf>
    <xf numFmtId="167" fontId="5" fillId="0" borderId="0" xfId="0" applyNumberFormat="1" applyFont="1"/>
    <xf numFmtId="167" fontId="6" fillId="35" borderId="0" xfId="0" applyNumberFormat="1" applyFont="1" applyFill="1" applyAlignment="1" applyProtection="1">
      <alignment horizontal="right"/>
      <protection locked="0"/>
    </xf>
    <xf numFmtId="167" fontId="6" fillId="35" borderId="2" xfId="0" applyNumberFormat="1" applyFont="1" applyFill="1" applyBorder="1" applyAlignment="1" applyProtection="1">
      <alignment horizontal="right"/>
      <protection locked="0"/>
    </xf>
    <xf numFmtId="0" fontId="5" fillId="36" borderId="1" xfId="0" applyFont="1" applyFill="1" applyBorder="1"/>
    <xf numFmtId="0" fontId="5" fillId="36" borderId="0" xfId="0" applyFont="1" applyFill="1"/>
    <xf numFmtId="167" fontId="5" fillId="36" borderId="6" xfId="0" applyNumberFormat="1" applyFont="1" applyFill="1" applyBorder="1" applyAlignment="1">
      <alignment horizontal="right"/>
    </xf>
    <xf numFmtId="167" fontId="5" fillId="36" borderId="7" xfId="0" applyNumberFormat="1" applyFont="1" applyFill="1" applyBorder="1" applyAlignment="1">
      <alignment horizontal="right"/>
    </xf>
    <xf numFmtId="164" fontId="5" fillId="0" borderId="0" xfId="0" applyNumberFormat="1" applyFont="1"/>
    <xf numFmtId="167" fontId="14" fillId="0" borderId="16" xfId="0" applyNumberFormat="1" applyFont="1" applyBorder="1" applyAlignment="1">
      <alignment horizontal="center"/>
    </xf>
    <xf numFmtId="166" fontId="5" fillId="36" borderId="6" xfId="0" applyNumberFormat="1" applyFont="1" applyFill="1" applyBorder="1" applyAlignment="1" applyProtection="1">
      <alignment horizontal="right"/>
      <protection locked="0"/>
    </xf>
    <xf numFmtId="166" fontId="5" fillId="36" borderId="7" xfId="0" applyNumberFormat="1" applyFont="1" applyFill="1" applyBorder="1" applyAlignment="1" applyProtection="1">
      <alignment horizontal="right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165" fontId="3" fillId="0" borderId="2" xfId="0" quotePrefix="1" applyNumberFormat="1" applyFont="1" applyBorder="1" applyAlignment="1">
      <alignment horizontal="center"/>
    </xf>
  </cellXfs>
  <cellStyles count="5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 2" xfId="15" xr:uid="{00000000-0005-0000-0000-00000E000000}"/>
    <cellStyle name="60% - Accent4 2" xfId="16" xr:uid="{00000000-0005-0000-0000-00000F000000}"/>
    <cellStyle name="60% - Accent5" xfId="17" builtinId="48" customBuiltin="1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5" xr:uid="{00000000-0005-0000-0000-00001B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52" xr:uid="{00000000-0005-0000-0000-000022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7000000}"/>
    <cellStyle name="Normal 2 2" xfId="38" xr:uid="{00000000-0005-0000-0000-000028000000}"/>
    <cellStyle name="Normal 2 3" xfId="39" xr:uid="{00000000-0005-0000-0000-000029000000}"/>
    <cellStyle name="Normal 2 4" xfId="53" xr:uid="{00000000-0005-0000-0000-00002A000000}"/>
    <cellStyle name="Normal 3" xfId="40" xr:uid="{00000000-0005-0000-0000-00002B000000}"/>
    <cellStyle name="Normal 3 2" xfId="54" xr:uid="{00000000-0005-0000-0000-00002C000000}"/>
    <cellStyle name="Normal 4" xfId="41" xr:uid="{00000000-0005-0000-0000-00002D000000}"/>
    <cellStyle name="Normal 5" xfId="42" xr:uid="{00000000-0005-0000-0000-00002E000000}"/>
    <cellStyle name="Note 2" xfId="43" xr:uid="{00000000-0005-0000-0000-00002F000000}"/>
    <cellStyle name="Output" xfId="44" builtinId="21" customBuiltin="1"/>
    <cellStyle name="Percent 2" xfId="45" xr:uid="{00000000-0005-0000-0000-000031000000}"/>
    <cellStyle name="Percent 2 2" xfId="46" xr:uid="{00000000-0005-0000-0000-000032000000}"/>
    <cellStyle name="Percent 3" xfId="47" xr:uid="{00000000-0005-0000-0000-000033000000}"/>
    <cellStyle name="Percent 4" xfId="48" xr:uid="{00000000-0005-0000-0000-000034000000}"/>
    <cellStyle name="Title" xfId="49" builtinId="15" customBuiltin="1"/>
    <cellStyle name="Total" xfId="50" builtinId="25" customBuiltin="1"/>
    <cellStyle name="Warning Text" xfId="51" builtinId="11" customBuiltin="1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79"/>
  <sheetViews>
    <sheetView tabSelected="1" topLeftCell="F41" zoomScaleNormal="100" workbookViewId="0">
      <selection activeCell="H53" sqref="H53"/>
    </sheetView>
  </sheetViews>
  <sheetFormatPr defaultColWidth="9.08984375" defaultRowHeight="12.5" x14ac:dyDescent="0.25"/>
  <cols>
    <col min="1" max="1" width="46.90625" style="6" customWidth="1"/>
    <col min="2" max="2" width="32.453125" style="6" customWidth="1"/>
    <col min="3" max="3" width="11.453125" style="6" customWidth="1"/>
    <col min="4" max="4" width="16" style="6" customWidth="1"/>
    <col min="5" max="5" width="11.6328125" style="6" customWidth="1"/>
    <col min="6" max="6" width="11.6328125" style="6" bestFit="1" customWidth="1"/>
    <col min="7" max="7" width="9.08984375" style="6"/>
    <col min="8" max="8" width="47.54296875" style="6" customWidth="1"/>
    <col min="9" max="9" width="9.08984375" style="6"/>
    <col min="10" max="13" width="10" style="6" bestFit="1" customWidth="1"/>
    <col min="14" max="16384" width="9.08984375" style="6"/>
  </cols>
  <sheetData>
    <row r="1" spans="1:13" ht="13.5" thickBot="1" x14ac:dyDescent="0.35">
      <c r="A1" s="69"/>
      <c r="B1" s="70"/>
      <c r="C1" s="70" t="s">
        <v>1</v>
      </c>
      <c r="D1" s="71" t="str">
        <f>+C1</f>
        <v>Mogas</v>
      </c>
      <c r="E1" s="70" t="s">
        <v>2</v>
      </c>
      <c r="F1" s="72" t="s">
        <v>3</v>
      </c>
      <c r="H1" s="69"/>
      <c r="I1" s="70"/>
      <c r="J1" s="70" t="str">
        <f>C1</f>
        <v>Mogas</v>
      </c>
      <c r="K1" s="71" t="str">
        <f>+J1</f>
        <v>Mogas</v>
      </c>
      <c r="L1" s="70" t="str">
        <f>E1</f>
        <v>Gasoil</v>
      </c>
      <c r="M1" s="72" t="str">
        <f>F1</f>
        <v>Illum</v>
      </c>
    </row>
    <row r="2" spans="1:13" ht="13.5" thickBot="1" x14ac:dyDescent="0.35">
      <c r="A2" s="73" t="s">
        <v>16</v>
      </c>
      <c r="B2" s="62" t="s">
        <v>56</v>
      </c>
      <c r="C2" s="62" t="s">
        <v>30</v>
      </c>
      <c r="D2" s="71" t="s">
        <v>44</v>
      </c>
      <c r="E2" s="62" t="s">
        <v>54</v>
      </c>
      <c r="F2" s="74" t="s">
        <v>4</v>
      </c>
      <c r="H2" s="75" t="s">
        <v>16</v>
      </c>
      <c r="I2" s="62"/>
      <c r="J2" s="62" t="str">
        <f>C2</f>
        <v>93 ULP</v>
      </c>
      <c r="K2" s="71" t="s">
        <v>44</v>
      </c>
      <c r="L2" s="62" t="str">
        <f>E2</f>
        <v>0.005%S</v>
      </c>
      <c r="M2" s="74" t="str">
        <f>F2</f>
        <v xml:space="preserve"> Para.</v>
      </c>
    </row>
    <row r="3" spans="1:13" ht="13" x14ac:dyDescent="0.3">
      <c r="A3" s="1"/>
      <c r="B3" s="2"/>
      <c r="C3" s="3"/>
      <c r="D3" s="3"/>
      <c r="E3" s="4"/>
      <c r="F3" s="5"/>
      <c r="H3" s="1"/>
      <c r="I3" s="2"/>
      <c r="J3" s="3"/>
      <c r="K3" s="3"/>
      <c r="L3" s="4"/>
      <c r="M3" s="5"/>
    </row>
    <row r="4" spans="1:13" ht="13" x14ac:dyDescent="0.3">
      <c r="A4" s="1" t="s">
        <v>52</v>
      </c>
      <c r="B4" s="56">
        <v>7.3499999999999996E-2</v>
      </c>
      <c r="C4" s="8"/>
      <c r="D4" s="3"/>
      <c r="E4" s="7"/>
      <c r="F4" s="10"/>
      <c r="H4" s="1" t="str">
        <f t="shared" ref="H4:I6" si="0">A4</f>
        <v>Exchange Rate (Average month BWP/$)</v>
      </c>
      <c r="I4" s="76">
        <f t="shared" si="0"/>
        <v>7.3499999999999996E-2</v>
      </c>
      <c r="J4" s="34"/>
      <c r="K4" s="40"/>
      <c r="L4" s="39"/>
      <c r="M4" s="41"/>
    </row>
    <row r="5" spans="1:13" ht="13" x14ac:dyDescent="0.3">
      <c r="A5" s="1" t="s">
        <v>40</v>
      </c>
      <c r="B5" s="56">
        <v>0.75170000000000003</v>
      </c>
      <c r="C5" s="8"/>
      <c r="D5" s="3"/>
      <c r="E5" s="7"/>
      <c r="F5" s="10"/>
      <c r="H5" s="1" t="str">
        <f t="shared" si="0"/>
        <v xml:space="preserve">Exchange rate : customs (Avg mth Rand/BWP) </v>
      </c>
      <c r="I5" s="76">
        <f t="shared" si="0"/>
        <v>0.75170000000000003</v>
      </c>
      <c r="J5" s="34"/>
      <c r="K5" s="40"/>
      <c r="L5" s="39"/>
      <c r="M5" s="41"/>
    </row>
    <row r="6" spans="1:13" ht="13" x14ac:dyDescent="0.3">
      <c r="A6" s="1" t="s">
        <v>42</v>
      </c>
      <c r="B6" s="11">
        <v>11.667</v>
      </c>
      <c r="C6" s="8"/>
      <c r="D6" s="3"/>
      <c r="E6" s="7"/>
      <c r="F6" s="10"/>
      <c r="H6" s="1" t="str">
        <f t="shared" si="0"/>
        <v>SA Standard Bank Prime Average for month</v>
      </c>
      <c r="I6" s="77">
        <f t="shared" si="0"/>
        <v>11.667</v>
      </c>
      <c r="J6" s="34"/>
      <c r="K6" s="40"/>
      <c r="L6" s="39"/>
      <c r="M6" s="41"/>
    </row>
    <row r="7" spans="1:13" ht="13" x14ac:dyDescent="0.3">
      <c r="A7" s="1" t="s">
        <v>29</v>
      </c>
      <c r="C7" s="11">
        <v>2214.5</v>
      </c>
      <c r="D7" s="11">
        <v>2214.5</v>
      </c>
      <c r="E7" s="11">
        <v>2140</v>
      </c>
      <c r="F7" s="11">
        <v>2140</v>
      </c>
      <c r="H7" s="1" t="str">
        <f t="shared" ref="H7:H12" si="1">A7</f>
        <v>Avg. Worldscale Freight - USc/mt. - Durban</v>
      </c>
      <c r="I7" s="38"/>
      <c r="J7" s="77">
        <f>C7</f>
        <v>2214.5</v>
      </c>
      <c r="K7" s="77">
        <f>D7</f>
        <v>2214.5</v>
      </c>
      <c r="L7" s="77">
        <f>E7</f>
        <v>2140</v>
      </c>
      <c r="M7" s="78">
        <f>F7</f>
        <v>2140</v>
      </c>
    </row>
    <row r="8" spans="1:13" ht="13" x14ac:dyDescent="0.3">
      <c r="A8" s="1" t="s">
        <v>17</v>
      </c>
      <c r="B8" s="11">
        <v>0.32200000000000001</v>
      </c>
      <c r="C8" s="9"/>
      <c r="D8" s="46"/>
      <c r="E8" s="9"/>
      <c r="F8" s="10"/>
      <c r="H8" s="1" t="str">
        <f t="shared" si="1"/>
        <v>Demurrage $ per ton per day</v>
      </c>
      <c r="I8" s="77">
        <f>B8</f>
        <v>0.32200000000000001</v>
      </c>
      <c r="J8" s="34"/>
      <c r="K8" s="40"/>
      <c r="L8" s="34"/>
      <c r="M8" s="47"/>
    </row>
    <row r="9" spans="1:13" ht="13" x14ac:dyDescent="0.3">
      <c r="A9" s="1" t="s">
        <v>57</v>
      </c>
      <c r="B9" s="11">
        <v>192.619</v>
      </c>
      <c r="C9" s="9"/>
      <c r="D9" s="46"/>
      <c r="E9" s="9"/>
      <c r="F9" s="10"/>
      <c r="H9" s="1" t="str">
        <f t="shared" si="1"/>
        <v>Platts Freight Usc/Mt</v>
      </c>
      <c r="I9" s="77">
        <f>B9</f>
        <v>192.619</v>
      </c>
      <c r="J9" s="34"/>
      <c r="K9" s="40"/>
      <c r="L9" s="34"/>
      <c r="M9" s="47"/>
    </row>
    <row r="10" spans="1:13" ht="13" x14ac:dyDescent="0.3">
      <c r="A10" s="1" t="s">
        <v>0</v>
      </c>
      <c r="C10" s="91">
        <v>80.207999999999998</v>
      </c>
      <c r="D10" s="91">
        <v>83.149000000000001</v>
      </c>
      <c r="E10" s="91">
        <v>85.695999999999998</v>
      </c>
      <c r="F10" s="92">
        <v>84.948999999999998</v>
      </c>
      <c r="H10" s="1" t="str">
        <f t="shared" si="1"/>
        <v xml:space="preserve">Avg. FOB $Bbl </v>
      </c>
      <c r="I10" s="38"/>
      <c r="J10" s="79">
        <f>C10</f>
        <v>80.207999999999998</v>
      </c>
      <c r="K10" s="79">
        <f>D10</f>
        <v>83.149000000000001</v>
      </c>
      <c r="L10" s="79">
        <f>E10</f>
        <v>85.695999999999998</v>
      </c>
      <c r="M10" s="79">
        <f>F10</f>
        <v>84.948999999999998</v>
      </c>
    </row>
    <row r="11" spans="1:13" ht="13" x14ac:dyDescent="0.3">
      <c r="A11" s="1" t="str">
        <f>"Cargo Dues: @ NPA Tariff "&amp;B11&amp;" c/l"</f>
        <v>Cargo Dues: @ NPA Tariff 3.147 c/l</v>
      </c>
      <c r="B11" s="11">
        <v>3.1469999999999998</v>
      </c>
      <c r="C11" s="8"/>
      <c r="D11" s="62"/>
      <c r="E11" s="7"/>
      <c r="F11" s="10"/>
      <c r="H11" s="1" t="str">
        <f t="shared" si="1"/>
        <v>Cargo Dues: @ NPA Tariff 3.147 c/l</v>
      </c>
      <c r="I11" s="77">
        <f t="shared" ref="I11:I16" si="2">B11</f>
        <v>3.1469999999999998</v>
      </c>
      <c r="J11" s="34"/>
      <c r="K11" s="40"/>
      <c r="L11" s="34"/>
      <c r="M11" s="47"/>
    </row>
    <row r="12" spans="1:13" ht="12" customHeight="1" x14ac:dyDescent="0.3">
      <c r="A12" s="1" t="s">
        <v>38</v>
      </c>
      <c r="B12" s="11">
        <f>7.822</f>
        <v>7.8220000000000001</v>
      </c>
      <c r="C12" s="8"/>
      <c r="D12" s="62"/>
      <c r="E12" s="7"/>
      <c r="F12" s="10"/>
      <c r="H12" s="1" t="str">
        <f t="shared" si="1"/>
        <v>Coastal Storage c/l</v>
      </c>
      <c r="I12" s="77">
        <f t="shared" si="2"/>
        <v>7.8220000000000001</v>
      </c>
      <c r="J12" s="34"/>
      <c r="K12" s="40"/>
      <c r="L12" s="34"/>
      <c r="M12" s="47"/>
    </row>
    <row r="13" spans="1:13" ht="13" x14ac:dyDescent="0.3">
      <c r="A13" s="65" t="s">
        <v>48</v>
      </c>
      <c r="B13" s="11">
        <f>75.291</f>
        <v>75.290999999999997</v>
      </c>
      <c r="C13" s="50"/>
      <c r="D13" s="63"/>
      <c r="E13" s="34"/>
      <c r="F13" s="10"/>
      <c r="H13" s="65" t="s">
        <v>48</v>
      </c>
      <c r="I13" s="77">
        <f t="shared" si="2"/>
        <v>75.290999999999997</v>
      </c>
      <c r="J13" s="34"/>
      <c r="K13" s="40"/>
      <c r="L13" s="34"/>
      <c r="M13" s="47"/>
    </row>
    <row r="14" spans="1:13" ht="13" x14ac:dyDescent="0.3">
      <c r="A14" s="65" t="s">
        <v>47</v>
      </c>
      <c r="B14" s="11">
        <f>8.31+5.14+0.43+0.66+8.02+1.87</f>
        <v>24.43</v>
      </c>
      <c r="C14" s="50"/>
      <c r="D14" s="63"/>
      <c r="E14" s="34"/>
      <c r="F14" s="10"/>
      <c r="H14" s="65" t="s">
        <v>47</v>
      </c>
      <c r="I14" s="77">
        <f t="shared" si="2"/>
        <v>24.43</v>
      </c>
      <c r="J14" s="34"/>
      <c r="K14" s="40"/>
      <c r="L14" s="34"/>
      <c r="M14" s="47"/>
    </row>
    <row r="15" spans="1:13" ht="13" x14ac:dyDescent="0.3">
      <c r="A15" s="1" t="s">
        <v>50</v>
      </c>
      <c r="B15" s="11">
        <v>61.295000000000002</v>
      </c>
      <c r="C15" s="50"/>
      <c r="D15" s="63"/>
      <c r="E15" s="34"/>
      <c r="F15" s="51">
        <v>95.641000000000005</v>
      </c>
      <c r="H15" s="1" t="str">
        <f>A15</f>
        <v>Railage Tarlton/Gaborone  SA c/l</v>
      </c>
      <c r="I15" s="77">
        <f t="shared" si="2"/>
        <v>61.295000000000002</v>
      </c>
      <c r="J15" s="77"/>
      <c r="K15" s="77"/>
      <c r="L15" s="77"/>
      <c r="M15" s="47">
        <v>95.641000000000005</v>
      </c>
    </row>
    <row r="16" spans="1:13" ht="13.5" thickBot="1" x14ac:dyDescent="0.35">
      <c r="A16" s="12" t="s">
        <v>18</v>
      </c>
      <c r="B16" s="13">
        <v>0.15</v>
      </c>
      <c r="C16" s="14">
        <f>$B16</f>
        <v>0.15</v>
      </c>
      <c r="D16" s="64">
        <f>+B16</f>
        <v>0.15</v>
      </c>
      <c r="E16" s="14">
        <f>$B16</f>
        <v>0.15</v>
      </c>
      <c r="F16" s="15">
        <f>$B16</f>
        <v>0.15</v>
      </c>
      <c r="H16" s="12" t="s">
        <v>18</v>
      </c>
      <c r="I16" s="42">
        <f t="shared" si="2"/>
        <v>0.15</v>
      </c>
      <c r="J16" s="14">
        <f>C16</f>
        <v>0.15</v>
      </c>
      <c r="K16" s="14">
        <f>D16</f>
        <v>0.15</v>
      </c>
      <c r="L16" s="14">
        <f>E16</f>
        <v>0.15</v>
      </c>
      <c r="M16" s="15">
        <f>F16</f>
        <v>0.15</v>
      </c>
    </row>
    <row r="17" spans="1:13" ht="13.5" thickBot="1" x14ac:dyDescent="0.35">
      <c r="A17" s="16"/>
      <c r="B17" s="16"/>
      <c r="D17" s="3"/>
      <c r="E17" s="17"/>
      <c r="H17" s="16"/>
      <c r="I17" s="16"/>
      <c r="K17" s="3"/>
      <c r="L17" s="17"/>
    </row>
    <row r="18" spans="1:13" ht="13" x14ac:dyDescent="0.3">
      <c r="A18" s="101" t="s">
        <v>26</v>
      </c>
      <c r="B18" s="102"/>
      <c r="C18" s="102"/>
      <c r="D18" s="102"/>
      <c r="E18" s="102"/>
      <c r="F18" s="103"/>
      <c r="H18" s="101" t="str">
        <f>A18</f>
        <v>Industry BFP Unit Rate Slate  - BOTSWANA</v>
      </c>
      <c r="I18" s="102"/>
      <c r="J18" s="102"/>
      <c r="K18" s="102"/>
      <c r="L18" s="102"/>
      <c r="M18" s="103"/>
    </row>
    <row r="19" spans="1:13" ht="13" x14ac:dyDescent="0.3">
      <c r="A19" s="104">
        <v>45536</v>
      </c>
      <c r="B19" s="105"/>
      <c r="C19" s="105"/>
      <c r="D19" s="105"/>
      <c r="E19" s="105"/>
      <c r="F19" s="106"/>
      <c r="H19" s="104">
        <f>A19</f>
        <v>45536</v>
      </c>
      <c r="I19" s="105"/>
      <c r="J19" s="105"/>
      <c r="K19" s="105"/>
      <c r="L19" s="105"/>
      <c r="M19" s="106"/>
    </row>
    <row r="20" spans="1:13" ht="13" x14ac:dyDescent="0.3">
      <c r="A20" s="80" t="str">
        <f>IF(A21=H21,"Period : 1st of Month to end of Month","1st Period from")</f>
        <v>1st Period from</v>
      </c>
      <c r="B20" s="2"/>
      <c r="C20" s="81"/>
      <c r="E20" s="17"/>
      <c r="F20" s="82"/>
      <c r="H20" s="1" t="str">
        <f>IF(H21=A21,"Nil Period","2nd Period from")</f>
        <v>2nd Period from</v>
      </c>
      <c r="I20" s="2"/>
      <c r="J20" s="81"/>
      <c r="L20" s="17"/>
      <c r="M20" s="82"/>
    </row>
    <row r="21" spans="1:13" ht="13" x14ac:dyDescent="0.3">
      <c r="A21" s="83">
        <v>45536</v>
      </c>
      <c r="B21" s="2"/>
      <c r="E21" s="17"/>
      <c r="F21" s="82"/>
      <c r="H21" s="83">
        <v>45546</v>
      </c>
      <c r="I21" s="2"/>
      <c r="K21" s="17"/>
      <c r="L21" s="17"/>
      <c r="M21" s="82"/>
    </row>
    <row r="22" spans="1:13" ht="13" x14ac:dyDescent="0.3">
      <c r="A22" s="84" t="s">
        <v>19</v>
      </c>
      <c r="B22" s="62"/>
      <c r="C22" s="71" t="str">
        <f>C1</f>
        <v>Mogas</v>
      </c>
      <c r="D22" s="71" t="str">
        <f>+C22</f>
        <v>Mogas</v>
      </c>
      <c r="E22" s="71" t="str">
        <f>E1</f>
        <v>Gasoil</v>
      </c>
      <c r="F22" s="85" t="str">
        <f>F1</f>
        <v>Illum</v>
      </c>
      <c r="H22" s="84" t="s">
        <v>19</v>
      </c>
      <c r="I22" s="62"/>
      <c r="J22" s="71" t="str">
        <f>C22</f>
        <v>Mogas</v>
      </c>
      <c r="K22" s="71" t="str">
        <f>+J22</f>
        <v>Mogas</v>
      </c>
      <c r="L22" s="71" t="str">
        <f>E22</f>
        <v>Gasoil</v>
      </c>
      <c r="M22" s="85" t="str">
        <f>F22</f>
        <v>Illum</v>
      </c>
    </row>
    <row r="23" spans="1:13" ht="13" x14ac:dyDescent="0.3">
      <c r="A23" s="86">
        <v>45545</v>
      </c>
      <c r="B23" s="87"/>
      <c r="C23" s="71" t="str">
        <f>C2</f>
        <v>93 ULP</v>
      </c>
      <c r="D23" s="71" t="s">
        <v>44</v>
      </c>
      <c r="E23" s="71" t="str">
        <f>E2</f>
        <v>0.005%S</v>
      </c>
      <c r="F23" s="85" t="str">
        <f>F2</f>
        <v xml:space="preserve"> Para.</v>
      </c>
      <c r="H23" s="86">
        <v>45565</v>
      </c>
      <c r="I23" s="87"/>
      <c r="J23" s="71" t="str">
        <f>C23</f>
        <v>93 ULP</v>
      </c>
      <c r="K23" s="71" t="s">
        <v>44</v>
      </c>
      <c r="L23" s="71" t="str">
        <f>E23</f>
        <v>0.005%S</v>
      </c>
      <c r="M23" s="85" t="str">
        <f>F23</f>
        <v xml:space="preserve"> Para.</v>
      </c>
    </row>
    <row r="24" spans="1:13" ht="13" x14ac:dyDescent="0.3">
      <c r="A24" s="18" t="s">
        <v>5</v>
      </c>
      <c r="B24" s="2"/>
      <c r="C24" s="19"/>
      <c r="D24" s="20"/>
      <c r="E24" s="52"/>
      <c r="F24" s="21"/>
      <c r="H24" s="18" t="str">
        <f t="shared" ref="H24:H39" si="3">A24</f>
        <v>INPUT</v>
      </c>
      <c r="I24" s="2"/>
      <c r="J24" s="19"/>
      <c r="K24" s="20"/>
      <c r="L24" s="52"/>
      <c r="M24" s="21"/>
    </row>
    <row r="25" spans="1:13" x14ac:dyDescent="0.25">
      <c r="A25" s="22" t="s">
        <v>6</v>
      </c>
      <c r="C25" s="44">
        <v>0.75</v>
      </c>
      <c r="D25" s="44">
        <f>C25</f>
        <v>0.75</v>
      </c>
      <c r="E25" s="44">
        <v>0.84</v>
      </c>
      <c r="F25" s="45">
        <v>0.8</v>
      </c>
      <c r="H25" s="22" t="str">
        <f t="shared" si="3"/>
        <v>Standard Densities</v>
      </c>
      <c r="J25" s="25">
        <f t="shared" ref="J25:M26" si="4">C25</f>
        <v>0.75</v>
      </c>
      <c r="K25" s="25">
        <f t="shared" si="4"/>
        <v>0.75</v>
      </c>
      <c r="L25" s="25">
        <f t="shared" si="4"/>
        <v>0.84</v>
      </c>
      <c r="M25" s="26">
        <f t="shared" si="4"/>
        <v>0.8</v>
      </c>
    </row>
    <row r="26" spans="1:13" x14ac:dyDescent="0.25">
      <c r="A26" s="93" t="s">
        <v>7</v>
      </c>
      <c r="B26" s="94"/>
      <c r="C26" s="99">
        <v>3.8050000000000002</v>
      </c>
      <c r="D26" s="99">
        <f>C26</f>
        <v>3.8050000000000002</v>
      </c>
      <c r="E26" s="99">
        <v>3.8010000000000002</v>
      </c>
      <c r="F26" s="100">
        <v>3.8029999999999999</v>
      </c>
      <c r="H26" s="22" t="str">
        <f t="shared" si="3"/>
        <v>Conversion Factors</v>
      </c>
      <c r="J26" s="23">
        <f t="shared" si="4"/>
        <v>3.8050000000000002</v>
      </c>
      <c r="K26" s="23">
        <f t="shared" si="4"/>
        <v>3.8050000000000002</v>
      </c>
      <c r="L26" s="23">
        <f t="shared" si="4"/>
        <v>3.8010000000000002</v>
      </c>
      <c r="M26" s="24">
        <f t="shared" si="4"/>
        <v>3.8029999999999999</v>
      </c>
    </row>
    <row r="27" spans="1:13" x14ac:dyDescent="0.25">
      <c r="A27" s="22" t="s">
        <v>53</v>
      </c>
      <c r="C27" s="23">
        <f>$B4</f>
        <v>7.3499999999999996E-2</v>
      </c>
      <c r="D27" s="23">
        <f t="shared" ref="C27:D29" si="5">$B4</f>
        <v>7.3499999999999996E-2</v>
      </c>
      <c r="E27" s="54">
        <f>+$B$4</f>
        <v>7.3499999999999996E-2</v>
      </c>
      <c r="F27" s="24">
        <f>$B4</f>
        <v>7.3499999999999996E-2</v>
      </c>
      <c r="H27" s="22" t="str">
        <f t="shared" si="3"/>
        <v>Exchange rate (Avg mth BWP/$) 3 Banks Selling rate</v>
      </c>
      <c r="J27" s="23">
        <f t="shared" ref="J27:K29" si="6">$I4</f>
        <v>7.3499999999999996E-2</v>
      </c>
      <c r="K27" s="23">
        <f t="shared" si="6"/>
        <v>7.3499999999999996E-2</v>
      </c>
      <c r="L27" s="23">
        <f t="shared" ref="L27:M29" si="7">$I4</f>
        <v>7.3499999999999996E-2</v>
      </c>
      <c r="M27" s="24">
        <f t="shared" si="7"/>
        <v>7.3499999999999996E-2</v>
      </c>
    </row>
    <row r="28" spans="1:13" x14ac:dyDescent="0.25">
      <c r="A28" s="22" t="s">
        <v>28</v>
      </c>
      <c r="C28" s="23">
        <f t="shared" si="5"/>
        <v>0.75170000000000003</v>
      </c>
      <c r="D28" s="23">
        <f t="shared" si="5"/>
        <v>0.75170000000000003</v>
      </c>
      <c r="E28" s="54">
        <f>+$B$5</f>
        <v>0.75170000000000003</v>
      </c>
      <c r="F28" s="24">
        <f>$B5</f>
        <v>0.75170000000000003</v>
      </c>
      <c r="H28" s="22" t="str">
        <f t="shared" si="3"/>
        <v xml:space="preserve">Exchange rate : customs (Avg mth Rand/Pula) </v>
      </c>
      <c r="J28" s="23">
        <f t="shared" si="6"/>
        <v>0.75170000000000003</v>
      </c>
      <c r="K28" s="23">
        <f t="shared" si="6"/>
        <v>0.75170000000000003</v>
      </c>
      <c r="L28" s="23">
        <f t="shared" si="7"/>
        <v>0.75170000000000003</v>
      </c>
      <c r="M28" s="24">
        <f t="shared" si="7"/>
        <v>0.75170000000000003</v>
      </c>
    </row>
    <row r="29" spans="1:13" x14ac:dyDescent="0.25">
      <c r="A29" s="22" t="str">
        <f>+A6</f>
        <v>SA Standard Bank Prime Average for month</v>
      </c>
      <c r="C29" s="25">
        <f t="shared" si="5"/>
        <v>11.667</v>
      </c>
      <c r="D29" s="25">
        <f t="shared" si="5"/>
        <v>11.667</v>
      </c>
      <c r="E29" s="55">
        <f>+$B$6</f>
        <v>11.667</v>
      </c>
      <c r="F29" s="26">
        <f>$B6</f>
        <v>11.667</v>
      </c>
      <c r="H29" s="22" t="str">
        <f t="shared" si="3"/>
        <v>SA Standard Bank Prime Average for month</v>
      </c>
      <c r="J29" s="25">
        <f t="shared" si="6"/>
        <v>11.667</v>
      </c>
      <c r="K29" s="25">
        <f t="shared" si="6"/>
        <v>11.667</v>
      </c>
      <c r="L29" s="25">
        <f t="shared" si="7"/>
        <v>11.667</v>
      </c>
      <c r="M29" s="26">
        <f t="shared" si="7"/>
        <v>11.667</v>
      </c>
    </row>
    <row r="30" spans="1:13" x14ac:dyDescent="0.25">
      <c r="A30" s="22" t="s">
        <v>20</v>
      </c>
      <c r="C30" s="25">
        <f>C7</f>
        <v>2214.5</v>
      </c>
      <c r="D30" s="25">
        <f>D7</f>
        <v>2214.5</v>
      </c>
      <c r="E30" s="55">
        <f>+E7</f>
        <v>2140</v>
      </c>
      <c r="F30" s="26">
        <f>F7</f>
        <v>2140</v>
      </c>
      <c r="H30" s="22" t="str">
        <f t="shared" si="3"/>
        <v>Avg. Worldscale Freight USc/mt.</v>
      </c>
      <c r="J30" s="25">
        <f>J7</f>
        <v>2214.5</v>
      </c>
      <c r="K30" s="25">
        <f>K7</f>
        <v>2214.5</v>
      </c>
      <c r="L30" s="25">
        <f>L7</f>
        <v>2140</v>
      </c>
      <c r="M30" s="26">
        <f>M7</f>
        <v>2140</v>
      </c>
    </row>
    <row r="31" spans="1:13" s="94" customFormat="1" x14ac:dyDescent="0.25">
      <c r="A31" s="93" t="str">
        <f>"Demurrage @ $"&amp;B8&amp;" /ton/day for 3 day period - USc/mt"</f>
        <v>Demurrage @ $0.322 /ton/day for 3 day period - USc/mt</v>
      </c>
      <c r="C31" s="95">
        <f>$B8*3*100</f>
        <v>96.6</v>
      </c>
      <c r="D31" s="95">
        <f>$I8*3*100</f>
        <v>96.6</v>
      </c>
      <c r="E31" s="95">
        <f>$B8*3*100</f>
        <v>96.6</v>
      </c>
      <c r="F31" s="96">
        <f>$B8*3*100</f>
        <v>96.6</v>
      </c>
      <c r="H31" s="93" t="str">
        <f t="shared" si="3"/>
        <v>Demurrage @ $0.322 /ton/day for 3 day period - USc/mt</v>
      </c>
      <c r="J31" s="95">
        <f>$I8*3*100</f>
        <v>96.6</v>
      </c>
      <c r="K31" s="95">
        <f>$I8*3*100</f>
        <v>96.6</v>
      </c>
      <c r="L31" s="95">
        <f>$I8*3*100</f>
        <v>96.6</v>
      </c>
      <c r="M31" s="96">
        <f>$I8*3*100</f>
        <v>96.6</v>
      </c>
    </row>
    <row r="32" spans="1:13" x14ac:dyDescent="0.25">
      <c r="A32" s="22" t="s">
        <v>58</v>
      </c>
      <c r="C32" s="25">
        <f>C31+C30</f>
        <v>2311.1</v>
      </c>
      <c r="D32" s="25">
        <f t="shared" ref="D32:F32" si="8">D31+D30</f>
        <v>2311.1</v>
      </c>
      <c r="E32" s="25">
        <f t="shared" si="8"/>
        <v>2236.6</v>
      </c>
      <c r="F32" s="25">
        <f t="shared" si="8"/>
        <v>2236.6</v>
      </c>
      <c r="H32" s="22" t="str">
        <f t="shared" si="3"/>
        <v>Worldscale plus demurrage</v>
      </c>
      <c r="J32" s="25">
        <f>C32</f>
        <v>2311.1</v>
      </c>
      <c r="K32" s="25">
        <f t="shared" ref="K32:M32" si="9">D32</f>
        <v>2311.1</v>
      </c>
      <c r="L32" s="25">
        <f t="shared" si="9"/>
        <v>2236.6</v>
      </c>
      <c r="M32" s="25">
        <f t="shared" si="9"/>
        <v>2236.6</v>
      </c>
    </row>
    <row r="33" spans="1:13" x14ac:dyDescent="0.25">
      <c r="A33" s="22" t="s">
        <v>57</v>
      </c>
      <c r="C33" s="25">
        <f>B9</f>
        <v>192.619</v>
      </c>
      <c r="D33" s="25">
        <f>B9</f>
        <v>192.619</v>
      </c>
      <c r="E33" s="25">
        <f>B9</f>
        <v>192.619</v>
      </c>
      <c r="F33" s="25">
        <f>B9</f>
        <v>192.619</v>
      </c>
      <c r="H33" s="22" t="str">
        <f t="shared" si="3"/>
        <v>Platts Freight Usc/Mt</v>
      </c>
      <c r="J33" s="25">
        <f>B9</f>
        <v>192.619</v>
      </c>
      <c r="K33" s="25">
        <f>B9</f>
        <v>192.619</v>
      </c>
      <c r="L33" s="25">
        <f>B9</f>
        <v>192.619</v>
      </c>
      <c r="M33" s="25">
        <f>B9</f>
        <v>192.619</v>
      </c>
    </row>
    <row r="34" spans="1:13" x14ac:dyDescent="0.25">
      <c r="A34" s="22" t="s">
        <v>21</v>
      </c>
      <c r="C34" s="25">
        <f>C35/42*100</f>
        <v>190.97142857142856</v>
      </c>
      <c r="D34" s="25">
        <f>D35/42*100</f>
        <v>197.97380952380951</v>
      </c>
      <c r="E34" s="25">
        <f>E35/42*100</f>
        <v>204.03809523809522</v>
      </c>
      <c r="F34" s="26">
        <f>F35/42*100</f>
        <v>202.25952380952381</v>
      </c>
      <c r="H34" s="22" t="str">
        <f t="shared" si="3"/>
        <v>Avg. FOB - USc/USg ($Bbl /42=USc/US gal.)</v>
      </c>
      <c r="J34" s="25">
        <f>J35/42*100</f>
        <v>190.97142857142856</v>
      </c>
      <c r="K34" s="25">
        <f>K35/42*100</f>
        <v>197.97380952380951</v>
      </c>
      <c r="L34" s="25">
        <f>L35/42*100</f>
        <v>204.03809523809522</v>
      </c>
      <c r="M34" s="26">
        <f>M35/42*100</f>
        <v>202.25952380952381</v>
      </c>
    </row>
    <row r="35" spans="1:13" x14ac:dyDescent="0.25">
      <c r="A35" s="22" t="s">
        <v>0</v>
      </c>
      <c r="C35" s="25">
        <f>C10</f>
        <v>80.207999999999998</v>
      </c>
      <c r="D35" s="25">
        <f>D10</f>
        <v>83.149000000000001</v>
      </c>
      <c r="E35" s="55">
        <f>+E10</f>
        <v>85.695999999999998</v>
      </c>
      <c r="F35" s="55">
        <f>+F10</f>
        <v>84.948999999999998</v>
      </c>
      <c r="H35" s="22" t="str">
        <f t="shared" si="3"/>
        <v xml:space="preserve">Avg. FOB $Bbl </v>
      </c>
      <c r="J35" s="25">
        <f>J10</f>
        <v>80.207999999999998</v>
      </c>
      <c r="K35" s="25">
        <f>K10</f>
        <v>83.149000000000001</v>
      </c>
      <c r="L35" s="25">
        <f>L10</f>
        <v>85.695999999999998</v>
      </c>
      <c r="M35" s="26">
        <f>M10</f>
        <v>84.948999999999998</v>
      </c>
    </row>
    <row r="36" spans="1:13" ht="13" x14ac:dyDescent="0.3">
      <c r="A36" s="18" t="s">
        <v>8</v>
      </c>
      <c r="B36" s="16"/>
      <c r="C36" s="25"/>
      <c r="D36" s="25"/>
      <c r="E36" s="55"/>
      <c r="F36" s="26"/>
      <c r="H36" s="18" t="str">
        <f t="shared" si="3"/>
        <v>Basic Fuel Price Calculation</v>
      </c>
      <c r="I36" s="16"/>
      <c r="J36" s="25"/>
      <c r="K36" s="25"/>
      <c r="L36" s="25"/>
      <c r="M36" s="26"/>
    </row>
    <row r="37" spans="1:13" x14ac:dyDescent="0.25">
      <c r="A37" s="22" t="s">
        <v>27</v>
      </c>
      <c r="C37" s="25">
        <f>ROUND((C34/(C27*C26)),3)</f>
        <v>682.85199999999998</v>
      </c>
      <c r="D37" s="25">
        <f>ROUND((D34/(D27*D26)),3)</f>
        <v>707.89</v>
      </c>
      <c r="E37" s="25">
        <f>ROUND((E34/(E27*E26)),3)</f>
        <v>730.34199999999998</v>
      </c>
      <c r="F37" s="25">
        <f>ROUND((F34/(F27*F26)),3)</f>
        <v>723.59500000000003</v>
      </c>
      <c r="H37" s="22" t="str">
        <f t="shared" si="3"/>
        <v>F.O.B.-Botswana thebe/litre</v>
      </c>
      <c r="J37" s="25">
        <f>ROUND((J34/(J27*J26)),3)</f>
        <v>682.85199999999998</v>
      </c>
      <c r="K37" s="25">
        <f>ROUND((K34/(K27*K26)),3)</f>
        <v>707.89</v>
      </c>
      <c r="L37" s="25">
        <f>ROUND((L34/(L27*L26)),3)</f>
        <v>730.34199999999998</v>
      </c>
      <c r="M37" s="25">
        <f>ROUND((M34/(M27*M26)),3)</f>
        <v>723.59500000000003</v>
      </c>
    </row>
    <row r="38" spans="1:13" x14ac:dyDescent="0.25">
      <c r="A38" s="22" t="s">
        <v>9</v>
      </c>
      <c r="C38" s="25">
        <f>ROUND(((C32*C33*C25/C27)/100000),3)</f>
        <v>45.424999999999997</v>
      </c>
      <c r="D38" s="25">
        <f>ROUND(((D32*D33*D25/D27)/100000),3)</f>
        <v>45.424999999999997</v>
      </c>
      <c r="E38" s="25">
        <f>ROUND(((E32*E33*E25/E27)/100000),3)</f>
        <v>49.235999999999997</v>
      </c>
      <c r="F38" s="25">
        <f>ROUND(((F32*F33*F25/F27)/100000),3)</f>
        <v>46.890999999999998</v>
      </c>
      <c r="H38" s="22" t="str">
        <f t="shared" si="3"/>
        <v>Freight plus demurrage</v>
      </c>
      <c r="J38" s="25">
        <f>ROUND(((J32*J33*J25/J27)/100000),3)</f>
        <v>45.424999999999997</v>
      </c>
      <c r="K38" s="25">
        <f>ROUND(((K32*K33*K25/K27)/100000),3)</f>
        <v>45.424999999999997</v>
      </c>
      <c r="L38" s="25">
        <f>ROUND(((L32*L33*L25/L27)/100000),3)</f>
        <v>49.235999999999997</v>
      </c>
      <c r="M38" s="25">
        <f>ROUND(((M32*M33*M25/M27)/100000),3)</f>
        <v>46.890999999999998</v>
      </c>
    </row>
    <row r="39" spans="1:13" x14ac:dyDescent="0.25">
      <c r="A39" s="22" t="str">
        <f>"Insurance: "&amp;B16&amp;"% of FOB + Freight"</f>
        <v>Insurance: 0.15% of FOB + Freight</v>
      </c>
      <c r="C39" s="25">
        <f>ROUND(((C37+C38)*C16/100),3)</f>
        <v>1.0920000000000001</v>
      </c>
      <c r="D39" s="25">
        <f>ROUND(((D37+D38)*D16/100),3)</f>
        <v>1.1299999999999999</v>
      </c>
      <c r="E39" s="25">
        <f>ROUND(((E37+E38)*E16/100),3)</f>
        <v>1.169</v>
      </c>
      <c r="F39" s="26">
        <f>ROUND(((F37+F38)*F16/100),3)</f>
        <v>1.1559999999999999</v>
      </c>
      <c r="H39" s="22" t="str">
        <f t="shared" si="3"/>
        <v>Insurance: 0.15% of FOB + Freight</v>
      </c>
      <c r="J39" s="25">
        <f>ROUND(((J37+J38)*J16/100),3)</f>
        <v>1.0920000000000001</v>
      </c>
      <c r="K39" s="25">
        <f>ROUND(((K37+K38)*K16/100),3)</f>
        <v>1.1299999999999999</v>
      </c>
      <c r="L39" s="25">
        <f>ROUND(((L37+L38)*L16/100),3)</f>
        <v>1.169</v>
      </c>
      <c r="M39" s="26">
        <f>ROUND(((M37+M38)*M16/100),3)</f>
        <v>1.1559999999999999</v>
      </c>
    </row>
    <row r="40" spans="1:13" x14ac:dyDescent="0.25">
      <c r="A40" s="22"/>
      <c r="C40" s="25"/>
      <c r="D40" s="25"/>
      <c r="E40" s="55"/>
      <c r="F40" s="26"/>
      <c r="H40" s="22"/>
      <c r="J40" s="25"/>
      <c r="K40" s="25"/>
      <c r="L40" s="25"/>
      <c r="M40" s="26"/>
    </row>
    <row r="41" spans="1:13" ht="13" x14ac:dyDescent="0.3">
      <c r="A41" s="18" t="s">
        <v>10</v>
      </c>
      <c r="B41" s="16"/>
      <c r="C41" s="27">
        <f>SUM(C37:C40)</f>
        <v>729.36899999999991</v>
      </c>
      <c r="D41" s="27">
        <f>SUM(D37:D40)</f>
        <v>754.44499999999994</v>
      </c>
      <c r="E41" s="27">
        <f>SUM(E37:E40)</f>
        <v>780.74699999999996</v>
      </c>
      <c r="F41" s="28">
        <f>SUM(F37:F40)</f>
        <v>771.64199999999994</v>
      </c>
      <c r="H41" s="18" t="str">
        <f t="shared" ref="H41:H47" si="10">A41</f>
        <v>C.I.F.</v>
      </c>
      <c r="I41" s="16"/>
      <c r="J41" s="27">
        <f>SUM(J37:J40)</f>
        <v>729.36899999999991</v>
      </c>
      <c r="K41" s="27">
        <f>SUM(K37:K40)</f>
        <v>754.44499999999994</v>
      </c>
      <c r="L41" s="27">
        <f>SUM(L37:L40)</f>
        <v>780.74699999999996</v>
      </c>
      <c r="M41" s="28">
        <f>SUM(M37:M40)</f>
        <v>771.64199999999994</v>
      </c>
    </row>
    <row r="42" spans="1:13" x14ac:dyDescent="0.25">
      <c r="A42" s="22" t="s">
        <v>22</v>
      </c>
      <c r="C42" s="25">
        <f>ROUND(((C41/100)*0.3),3)</f>
        <v>2.1880000000000002</v>
      </c>
      <c r="D42" s="25">
        <f>ROUND(((D41/100)*0.3),3)</f>
        <v>2.2629999999999999</v>
      </c>
      <c r="E42" s="25">
        <f>ROUND(((E41/100)*0.3),3)</f>
        <v>2.3420000000000001</v>
      </c>
      <c r="F42" s="26">
        <f>ROUND(((F41/100)*0.3),3)</f>
        <v>2.3149999999999999</v>
      </c>
      <c r="H42" s="22" t="str">
        <f t="shared" si="10"/>
        <v>Ocean Leakage: 0.3% of CIF</v>
      </c>
      <c r="J42" s="25">
        <f>ROUND(((J41/100)*0.3),3)</f>
        <v>2.1880000000000002</v>
      </c>
      <c r="K42" s="25">
        <f>ROUND(((K41/100)*0.3),3)</f>
        <v>2.2629999999999999</v>
      </c>
      <c r="L42" s="25">
        <f>ROUND(((L41/100)*0.3),3)</f>
        <v>2.3420000000000001</v>
      </c>
      <c r="M42" s="26">
        <f>ROUND(((M41/100)*0.3),3)</f>
        <v>2.3149999999999999</v>
      </c>
    </row>
    <row r="43" spans="1:13" x14ac:dyDescent="0.25">
      <c r="A43" s="22" t="str">
        <f>+A11</f>
        <v>Cargo Dues: @ NPA Tariff 3.147 c/l</v>
      </c>
      <c r="C43" s="25">
        <f>$B11*C28</f>
        <v>2.3655998999999999</v>
      </c>
      <c r="D43" s="25">
        <f>$I11*D28</f>
        <v>2.3655998999999999</v>
      </c>
      <c r="E43" s="25">
        <f>$B11*E28</f>
        <v>2.3655998999999999</v>
      </c>
      <c r="F43" s="25">
        <f>$B11*F28</f>
        <v>2.3655998999999999</v>
      </c>
      <c r="H43" s="22" t="str">
        <f t="shared" si="10"/>
        <v>Cargo Dues: @ NPA Tariff 3.147 c/l</v>
      </c>
      <c r="J43" s="25">
        <f>$I11*J28</f>
        <v>2.3655998999999999</v>
      </c>
      <c r="K43" s="25">
        <f>$I11*K28</f>
        <v>2.3655998999999999</v>
      </c>
      <c r="L43" s="25">
        <f>$I11*L28</f>
        <v>2.3655998999999999</v>
      </c>
      <c r="M43" s="25">
        <f>$I11*M28</f>
        <v>2.3655998999999999</v>
      </c>
    </row>
    <row r="44" spans="1:13" x14ac:dyDescent="0.25">
      <c r="A44" s="22" t="s">
        <v>23</v>
      </c>
      <c r="C44" s="25">
        <f>SUM(C41:C43)</f>
        <v>733.92259989999991</v>
      </c>
      <c r="D44" s="25">
        <f>SUM(D41:D43)</f>
        <v>759.07359989999998</v>
      </c>
      <c r="E44" s="25">
        <f>SUM(E41:E43)</f>
        <v>785.45459989999995</v>
      </c>
      <c r="F44" s="26">
        <f>SUM(F41:F43)</f>
        <v>776.3225999</v>
      </c>
      <c r="H44" s="22" t="str">
        <f t="shared" si="10"/>
        <v>Landed Cost at Durban</v>
      </c>
      <c r="J44" s="25">
        <f>SUM(J41:J43)</f>
        <v>733.92259989999991</v>
      </c>
      <c r="K44" s="25">
        <f>SUM(K41:K43)</f>
        <v>759.07359989999998</v>
      </c>
      <c r="L44" s="25">
        <f>SUM(L41:L43)</f>
        <v>785.45459989999995</v>
      </c>
      <c r="M44" s="26">
        <f>SUM(M41:M43)</f>
        <v>776.3225999</v>
      </c>
    </row>
    <row r="45" spans="1:13" x14ac:dyDescent="0.25">
      <c r="A45" s="22" t="s">
        <v>11</v>
      </c>
      <c r="C45" s="25">
        <f>$B12*C28</f>
        <v>5.8797974000000002</v>
      </c>
      <c r="D45" s="25">
        <f>$I12*D28</f>
        <v>5.8797974000000002</v>
      </c>
      <c r="E45" s="25">
        <f>$B12*E28</f>
        <v>5.8797974000000002</v>
      </c>
      <c r="F45" s="25">
        <f>$B12*F28</f>
        <v>5.8797974000000002</v>
      </c>
      <c r="H45" s="22" t="str">
        <f t="shared" si="10"/>
        <v>Coastal Storage</v>
      </c>
      <c r="J45" s="25">
        <f>$I12*J28</f>
        <v>5.8797974000000002</v>
      </c>
      <c r="K45" s="25">
        <f>$I12*K28</f>
        <v>5.8797974000000002</v>
      </c>
      <c r="L45" s="25">
        <f>$I12*L28</f>
        <v>5.8797974000000002</v>
      </c>
      <c r="M45" s="25">
        <f>$I12*M28</f>
        <v>5.8797974000000002</v>
      </c>
    </row>
    <row r="46" spans="1:13" x14ac:dyDescent="0.25">
      <c r="A46" s="22" t="s">
        <v>12</v>
      </c>
      <c r="C46" s="25">
        <f>ROUND((C44*(100+C29-2)/100-C44)/365*25,3)</f>
        <v>4.859</v>
      </c>
      <c r="D46" s="25">
        <f>ROUND((D44*(100+D29-2)/100-D44)/365*25,3)</f>
        <v>5.0259999999999998</v>
      </c>
      <c r="E46" s="25">
        <f>ROUND((E44*(100+E29-2)/100-E44)/365*25,3)</f>
        <v>5.2009999999999996</v>
      </c>
      <c r="F46" s="26">
        <f>ROUND((F44*(100+F29-2)/100-F44)/365*25,3)</f>
        <v>5.14</v>
      </c>
      <c r="H46" s="22" t="str">
        <f t="shared" si="10"/>
        <v>Coastal Stock Financing Cost</v>
      </c>
      <c r="J46" s="25">
        <f>ROUND((J44*(100+J29-2)/100-J44)/365*25,3)</f>
        <v>4.859</v>
      </c>
      <c r="K46" s="25">
        <f>ROUND((K44*(100+K29-2)/100-K44)/365*25,3)</f>
        <v>5.0259999999999998</v>
      </c>
      <c r="L46" s="25">
        <f>ROUND((L44*(100+L29-2)/100-L44)/365*25,3)</f>
        <v>5.2009999999999996</v>
      </c>
      <c r="M46" s="26">
        <f>ROUND((M44*(100+M29-2)/100-M44)/365*25,3)</f>
        <v>5.14</v>
      </c>
    </row>
    <row r="47" spans="1:13" ht="13" x14ac:dyDescent="0.3">
      <c r="A47" s="1" t="s">
        <v>39</v>
      </c>
      <c r="B47" s="2"/>
      <c r="C47" s="27">
        <f>ROUND(SUM(C44:C46),3)</f>
        <v>744.66099999999994</v>
      </c>
      <c r="D47" s="27">
        <f>ROUND(SUM(D44:D46),3)</f>
        <v>769.97900000000004</v>
      </c>
      <c r="E47" s="27">
        <f>ROUND(SUM(E44:E46),3)</f>
        <v>796.53499999999997</v>
      </c>
      <c r="F47" s="28">
        <f>ROUND(SUM(F44:F46),3)</f>
        <v>787.34199999999998</v>
      </c>
      <c r="H47" s="1" t="str">
        <f t="shared" si="10"/>
        <v>Basic Fuels Price at Durban thebe /litre</v>
      </c>
      <c r="I47" s="2"/>
      <c r="J47" s="27">
        <f>ROUND(SUM(J44:J46),3)</f>
        <v>744.66099999999994</v>
      </c>
      <c r="K47" s="27">
        <f>ROUND(SUM(K44:K46),3)</f>
        <v>769.97900000000004</v>
      </c>
      <c r="L47" s="27">
        <f>ROUND(SUM(L44:L46),3)</f>
        <v>796.53499999999997</v>
      </c>
      <c r="M47" s="28">
        <f>ROUND(SUM(M44:M46),3)</f>
        <v>787.34199999999998</v>
      </c>
    </row>
    <row r="48" spans="1:13" ht="13" x14ac:dyDescent="0.3">
      <c r="A48" s="57" t="s">
        <v>45</v>
      </c>
      <c r="B48" s="2"/>
      <c r="C48" s="59">
        <f>B13*B5</f>
        <v>56.5962447</v>
      </c>
      <c r="D48" s="59">
        <f>C48</f>
        <v>56.5962447</v>
      </c>
      <c r="E48" s="59">
        <f>C48</f>
        <v>56.5962447</v>
      </c>
      <c r="F48" s="66"/>
      <c r="H48" s="57" t="s">
        <v>45</v>
      </c>
      <c r="I48" s="2"/>
      <c r="J48" s="59">
        <f>I13*I5</f>
        <v>56.5962447</v>
      </c>
      <c r="K48" s="59">
        <f>J48</f>
        <v>56.5962447</v>
      </c>
      <c r="L48" s="59">
        <f>J48</f>
        <v>56.5962447</v>
      </c>
      <c r="M48" s="27"/>
    </row>
    <row r="49" spans="1:13" ht="13" x14ac:dyDescent="0.3">
      <c r="A49" s="57" t="s">
        <v>46</v>
      </c>
      <c r="B49" s="2"/>
      <c r="C49" s="59">
        <f>+B14*B5</f>
        <v>18.364031000000001</v>
      </c>
      <c r="D49" s="59">
        <f>C49</f>
        <v>18.364031000000001</v>
      </c>
      <c r="E49" s="59">
        <f>C49</f>
        <v>18.364031000000001</v>
      </c>
      <c r="F49" s="66"/>
      <c r="H49" s="57" t="s">
        <v>46</v>
      </c>
      <c r="I49" s="2"/>
      <c r="J49" s="27">
        <f>+C49</f>
        <v>18.364031000000001</v>
      </c>
      <c r="K49" s="27">
        <f>+D49</f>
        <v>18.364031000000001</v>
      </c>
      <c r="L49" s="27">
        <f>+E49</f>
        <v>18.364031000000001</v>
      </c>
      <c r="M49" s="66"/>
    </row>
    <row r="50" spans="1:13" ht="13.5" thickBot="1" x14ac:dyDescent="0.35">
      <c r="A50" s="57" t="s">
        <v>51</v>
      </c>
      <c r="B50" s="58"/>
      <c r="C50" s="59">
        <f>+B15*B5</f>
        <v>46.075451500000007</v>
      </c>
      <c r="D50" s="59">
        <f>C50</f>
        <v>46.075451500000007</v>
      </c>
      <c r="E50" s="59">
        <f>C50</f>
        <v>46.075451500000007</v>
      </c>
      <c r="F50" s="59">
        <f>+F15*B5</f>
        <v>71.893339700000013</v>
      </c>
      <c r="G50" s="58"/>
      <c r="H50" s="57" t="str">
        <f>A50</f>
        <v>Railage Tarlton/Gaborone thebe/litre</v>
      </c>
      <c r="I50" s="58"/>
      <c r="J50" s="59">
        <f>+I15*I5</f>
        <v>46.075451500000007</v>
      </c>
      <c r="K50" s="60">
        <f>J50</f>
        <v>46.075451500000007</v>
      </c>
      <c r="L50" s="60">
        <f>J50</f>
        <v>46.075451500000007</v>
      </c>
      <c r="M50" s="59">
        <f>+M15*I5</f>
        <v>71.893339700000013</v>
      </c>
    </row>
    <row r="51" spans="1:13" ht="13.5" thickBot="1" x14ac:dyDescent="0.35">
      <c r="A51" s="1" t="s">
        <v>41</v>
      </c>
      <c r="B51" s="2"/>
      <c r="C51" s="29">
        <f>SUM(C47:C50)</f>
        <v>865.69672719999994</v>
      </c>
      <c r="D51" s="29">
        <f>SUM(D47:D50)</f>
        <v>891.01472719999992</v>
      </c>
      <c r="E51" s="29">
        <f>SUM(E47:E50)</f>
        <v>917.57072719999996</v>
      </c>
      <c r="F51" s="29">
        <f>SUM(F47:F50)</f>
        <v>859.23533969999994</v>
      </c>
      <c r="H51" s="1" t="str">
        <f>A51</f>
        <v>IMPORT PARITY GABORONE thebe /litre</v>
      </c>
      <c r="I51" s="2"/>
      <c r="J51" s="29">
        <f>SUM(J47:J50)</f>
        <v>865.69672719999994</v>
      </c>
      <c r="K51" s="29">
        <f>SUM(K47:K50)</f>
        <v>891.01472719999992</v>
      </c>
      <c r="L51" s="29">
        <f>SUM(L47:L50)</f>
        <v>917.57072719999996</v>
      </c>
      <c r="M51" s="30">
        <f>SUM(M47:M50)</f>
        <v>859.23533969999994</v>
      </c>
    </row>
    <row r="52" spans="1:13" ht="13.5" thickBot="1" x14ac:dyDescent="0.35">
      <c r="A52" s="18" t="s">
        <v>13</v>
      </c>
      <c r="B52" s="16"/>
      <c r="C52" s="25"/>
      <c r="D52" s="25"/>
      <c r="E52" s="98"/>
      <c r="F52" s="26"/>
      <c r="H52" s="18" t="str">
        <f>A52</f>
        <v>Slate Calculation</v>
      </c>
      <c r="I52" s="16"/>
      <c r="J52" s="25"/>
      <c r="K52" s="25"/>
      <c r="L52" s="98"/>
      <c r="M52" s="26"/>
    </row>
    <row r="53" spans="1:13" ht="13.5" thickBot="1" x14ac:dyDescent="0.35">
      <c r="A53" s="22" t="s">
        <v>14</v>
      </c>
      <c r="C53" s="88">
        <v>1557</v>
      </c>
      <c r="D53" s="88">
        <v>1582</v>
      </c>
      <c r="E53" s="88">
        <v>1589</v>
      </c>
      <c r="F53" s="88">
        <v>1314</v>
      </c>
      <c r="H53" s="22" t="str">
        <f>A53</f>
        <v>Pump Prices</v>
      </c>
      <c r="J53" s="88">
        <v>1451</v>
      </c>
      <c r="K53" s="88">
        <v>1475</v>
      </c>
      <c r="L53" s="88">
        <v>1494</v>
      </c>
      <c r="M53" s="88">
        <v>1112</v>
      </c>
    </row>
    <row r="54" spans="1:13" ht="13" x14ac:dyDescent="0.3">
      <c r="A54" s="22" t="s">
        <v>15</v>
      </c>
      <c r="C54" s="68">
        <v>92.263999999999996</v>
      </c>
      <c r="D54" s="68">
        <v>92.263999999999996</v>
      </c>
      <c r="E54" s="68">
        <v>92.263999999999996</v>
      </c>
      <c r="F54" s="68">
        <v>92.263999999999996</v>
      </c>
      <c r="H54" s="22" t="str">
        <f>A54</f>
        <v>Less:    Dealers Margin</v>
      </c>
      <c r="J54" s="88">
        <f>76.634+1.533+6.735+7.362</f>
        <v>92.263999999999996</v>
      </c>
      <c r="K54" s="88">
        <f t="shared" ref="K54:M54" si="11">76.634+1.533+6.735+7.362</f>
        <v>92.263999999999996</v>
      </c>
      <c r="L54" s="88">
        <f t="shared" si="11"/>
        <v>92.263999999999996</v>
      </c>
      <c r="M54" s="88">
        <f t="shared" si="11"/>
        <v>92.263999999999996</v>
      </c>
    </row>
    <row r="55" spans="1:13" ht="13" thickBot="1" x14ac:dyDescent="0.3">
      <c r="A55" s="22"/>
      <c r="C55" s="44"/>
      <c r="D55" s="44"/>
      <c r="E55" s="53"/>
      <c r="F55" s="45"/>
      <c r="H55" s="22"/>
      <c r="J55" s="44"/>
      <c r="K55" s="44"/>
      <c r="L55" s="44"/>
      <c r="M55" s="45"/>
    </row>
    <row r="56" spans="1:13" ht="13.5" thickBot="1" x14ac:dyDescent="0.35">
      <c r="A56" s="22" t="s">
        <v>24</v>
      </c>
      <c r="B56" s="2"/>
      <c r="C56" s="31">
        <f>C53-C54-C55</f>
        <v>1464.7360000000001</v>
      </c>
      <c r="D56" s="31">
        <f>D53-D54-D55</f>
        <v>1489.7360000000001</v>
      </c>
      <c r="E56" s="31">
        <f>E53-E54-E55</f>
        <v>1496.7360000000001</v>
      </c>
      <c r="F56" s="32">
        <f>F53-F54-F55</f>
        <v>1221.7360000000001</v>
      </c>
      <c r="H56" s="22" t="str">
        <f t="shared" ref="H56:H68" si="12">A56</f>
        <v>Wholesale selling price</v>
      </c>
      <c r="I56" s="2"/>
      <c r="J56" s="31">
        <f>J53-J54-J55</f>
        <v>1358.7360000000001</v>
      </c>
      <c r="K56" s="31">
        <f>K53-K54-K55</f>
        <v>1382.7360000000001</v>
      </c>
      <c r="L56" s="31">
        <f>L53-L54-L55</f>
        <v>1401.7360000000001</v>
      </c>
      <c r="M56" s="31">
        <f>M53-M54-M55</f>
        <v>1019.736</v>
      </c>
    </row>
    <row r="57" spans="1:13" ht="13" x14ac:dyDescent="0.3">
      <c r="A57" s="61" t="s">
        <v>43</v>
      </c>
      <c r="C57" s="88">
        <v>73.415999999999997</v>
      </c>
      <c r="D57" s="88">
        <v>73.415999999999997</v>
      </c>
      <c r="E57" s="88">
        <v>73.415999999999997</v>
      </c>
      <c r="F57" s="88">
        <v>73.415999999999997</v>
      </c>
      <c r="H57" s="33" t="str">
        <f t="shared" si="12"/>
        <v xml:space="preserve">         Industry Margins</v>
      </c>
      <c r="J57" s="88">
        <f>65.287+1.306+5.738+1.085</f>
        <v>73.415999999999997</v>
      </c>
      <c r="K57" s="88">
        <f t="shared" ref="K57:M57" si="13">65.287+1.306+5.738+1.085</f>
        <v>73.415999999999997</v>
      </c>
      <c r="L57" s="88">
        <f t="shared" si="13"/>
        <v>73.415999999999997</v>
      </c>
      <c r="M57" s="88">
        <f t="shared" si="13"/>
        <v>73.415999999999997</v>
      </c>
    </row>
    <row r="58" spans="1:13" ht="13" x14ac:dyDescent="0.3">
      <c r="A58" s="33" t="s">
        <v>31</v>
      </c>
      <c r="C58" s="68">
        <f>4*B5</f>
        <v>3.0068000000000001</v>
      </c>
      <c r="D58" s="68">
        <f>+C58</f>
        <v>3.0068000000000001</v>
      </c>
      <c r="E58" s="68">
        <f>+D58</f>
        <v>3.0068000000000001</v>
      </c>
      <c r="F58" s="89"/>
      <c r="H58" s="33" t="str">
        <f t="shared" si="12"/>
        <v>DUTY (at customs rate)</v>
      </c>
      <c r="J58" s="68">
        <f>+C58</f>
        <v>3.0068000000000001</v>
      </c>
      <c r="K58" s="68">
        <f>+J58</f>
        <v>3.0068000000000001</v>
      </c>
      <c r="L58" s="68">
        <f>+E58</f>
        <v>3.0068000000000001</v>
      </c>
      <c r="M58" s="68">
        <f>+F58</f>
        <v>0</v>
      </c>
    </row>
    <row r="59" spans="1:13" ht="13" x14ac:dyDescent="0.3">
      <c r="A59" s="35" t="s">
        <v>32</v>
      </c>
      <c r="C59" s="68">
        <f>12+100</f>
        <v>112</v>
      </c>
      <c r="D59" s="68">
        <f>12+100</f>
        <v>112</v>
      </c>
      <c r="E59" s="68">
        <f>7+100</f>
        <v>107</v>
      </c>
      <c r="F59" s="89"/>
      <c r="H59" s="35" t="str">
        <f t="shared" si="12"/>
        <v>- Fuel Levy</v>
      </c>
      <c r="J59" s="68">
        <f>C59</f>
        <v>112</v>
      </c>
      <c r="K59" s="68">
        <f>D59</f>
        <v>112</v>
      </c>
      <c r="L59" s="68">
        <f>E59</f>
        <v>107</v>
      </c>
      <c r="M59" s="68">
        <f>+F59</f>
        <v>0</v>
      </c>
    </row>
    <row r="60" spans="1:13" ht="13" x14ac:dyDescent="0.3">
      <c r="A60" s="35" t="s">
        <v>33</v>
      </c>
      <c r="C60" s="68">
        <v>115</v>
      </c>
      <c r="D60" s="68">
        <v>115</v>
      </c>
      <c r="E60" s="68">
        <v>115</v>
      </c>
      <c r="F60" s="89"/>
      <c r="H60" s="35" t="str">
        <f t="shared" si="12"/>
        <v>- Road Fund</v>
      </c>
      <c r="J60" s="68">
        <v>115</v>
      </c>
      <c r="K60" s="68">
        <v>115</v>
      </c>
      <c r="L60" s="68">
        <v>115</v>
      </c>
      <c r="M60" s="68"/>
    </row>
    <row r="61" spans="1:13" ht="13" x14ac:dyDescent="0.3">
      <c r="A61" s="35" t="s">
        <v>34</v>
      </c>
      <c r="C61" s="68">
        <v>9.5</v>
      </c>
      <c r="D61" s="68">
        <v>9.5</v>
      </c>
      <c r="E61" s="68">
        <v>9.5</v>
      </c>
      <c r="F61" s="89"/>
      <c r="H61" s="35" t="str">
        <f t="shared" si="12"/>
        <v>- MVA Levy</v>
      </c>
      <c r="J61" s="68">
        <f>5+4.5</f>
        <v>9.5</v>
      </c>
      <c r="K61" s="68">
        <f>5+4.5</f>
        <v>9.5</v>
      </c>
      <c r="L61" s="68">
        <f>5+4.5</f>
        <v>9.5</v>
      </c>
      <c r="M61" s="68"/>
    </row>
    <row r="62" spans="1:13" ht="13" x14ac:dyDescent="0.3">
      <c r="A62" s="35" t="s">
        <v>35</v>
      </c>
      <c r="C62" s="68">
        <f>13.5+8.6+23.8+24.1</f>
        <v>70</v>
      </c>
      <c r="D62" s="68">
        <f t="shared" ref="D62:E62" si="14">13.5+8.6+23.8+24.1</f>
        <v>70</v>
      </c>
      <c r="E62" s="68">
        <f t="shared" si="14"/>
        <v>70</v>
      </c>
      <c r="F62" s="89"/>
      <c r="H62" s="35" t="str">
        <f t="shared" si="12"/>
        <v>- National  Petrol Fund Levy</v>
      </c>
      <c r="J62" s="68">
        <f>C62</f>
        <v>70</v>
      </c>
      <c r="K62" s="68">
        <f t="shared" ref="K62:L62" si="15">D62</f>
        <v>70</v>
      </c>
      <c r="L62" s="68">
        <f t="shared" si="15"/>
        <v>70</v>
      </c>
      <c r="M62" s="68"/>
    </row>
    <row r="63" spans="1:13" ht="13" x14ac:dyDescent="0.3">
      <c r="A63" s="35" t="s">
        <v>55</v>
      </c>
      <c r="C63" s="68">
        <v>17.5</v>
      </c>
      <c r="D63" s="68">
        <v>17.5</v>
      </c>
      <c r="E63" s="68">
        <v>17.5</v>
      </c>
      <c r="F63" s="67"/>
      <c r="H63" s="35" t="str">
        <f t="shared" si="12"/>
        <v xml:space="preserve"> Security of Supply Margin</v>
      </c>
      <c r="J63" s="68">
        <v>17.5</v>
      </c>
      <c r="K63" s="68">
        <v>17.5</v>
      </c>
      <c r="L63" s="68">
        <v>17.5</v>
      </c>
      <c r="M63" s="68"/>
    </row>
    <row r="64" spans="1:13" ht="13" x14ac:dyDescent="0.3">
      <c r="A64" s="35" t="s">
        <v>61</v>
      </c>
      <c r="C64" s="68">
        <v>0</v>
      </c>
      <c r="D64" s="68">
        <v>0</v>
      </c>
      <c r="E64" s="68">
        <v>0</v>
      </c>
      <c r="F64" s="68">
        <v>0</v>
      </c>
      <c r="H64" s="35" t="str">
        <f t="shared" si="12"/>
        <v>- Depot Storage &amp; Handling - moved to NPF</v>
      </c>
      <c r="J64" s="68">
        <f>C64</f>
        <v>0</v>
      </c>
      <c r="K64" s="68">
        <f t="shared" ref="K64:M64" si="16">D64</f>
        <v>0</v>
      </c>
      <c r="L64" s="68">
        <f t="shared" si="16"/>
        <v>0</v>
      </c>
      <c r="M64" s="68">
        <f t="shared" si="16"/>
        <v>0</v>
      </c>
    </row>
    <row r="65" spans="1:13" ht="13" x14ac:dyDescent="0.3">
      <c r="A65" s="35" t="s">
        <v>25</v>
      </c>
      <c r="C65" s="68">
        <v>8.8000000000000007</v>
      </c>
      <c r="D65" s="68">
        <v>8.8000000000000007</v>
      </c>
      <c r="E65" s="68">
        <v>8.8000000000000007</v>
      </c>
      <c r="F65" s="68">
        <v>8.8000000000000007</v>
      </c>
      <c r="H65" s="35" t="str">
        <f t="shared" si="12"/>
        <v>- Road Delivery</v>
      </c>
      <c r="J65" s="68">
        <v>8.8000000000000007</v>
      </c>
      <c r="K65" s="68">
        <f>+J65</f>
        <v>8.8000000000000007</v>
      </c>
      <c r="L65" s="68">
        <f t="shared" ref="L65:M67" si="17">+E65</f>
        <v>8.8000000000000007</v>
      </c>
      <c r="M65" s="68">
        <f t="shared" si="17"/>
        <v>8.8000000000000007</v>
      </c>
    </row>
    <row r="66" spans="1:13" ht="13" x14ac:dyDescent="0.3">
      <c r="A66" s="35" t="s">
        <v>36</v>
      </c>
      <c r="C66" s="68">
        <v>4.5999999999999996</v>
      </c>
      <c r="D66" s="68">
        <v>4.5999999999999996</v>
      </c>
      <c r="E66" s="68">
        <v>4.5999999999999996</v>
      </c>
      <c r="F66" s="68">
        <v>4.5999999999999996</v>
      </c>
      <c r="H66" s="35" t="str">
        <f t="shared" si="12"/>
        <v>- Grid Differential</v>
      </c>
      <c r="J66" s="68">
        <v>4.5999999999999996</v>
      </c>
      <c r="K66" s="68">
        <f>+J66</f>
        <v>4.5999999999999996</v>
      </c>
      <c r="L66" s="68">
        <f t="shared" si="17"/>
        <v>4.5999999999999996</v>
      </c>
      <c r="M66" s="68">
        <f t="shared" si="17"/>
        <v>4.5999999999999996</v>
      </c>
    </row>
    <row r="67" spans="1:13" ht="13" x14ac:dyDescent="0.3">
      <c r="A67" s="35" t="s">
        <v>60</v>
      </c>
      <c r="C67" s="68">
        <v>0</v>
      </c>
      <c r="D67" s="68">
        <v>0</v>
      </c>
      <c r="E67" s="68">
        <v>0</v>
      </c>
      <c r="F67" s="68">
        <v>0</v>
      </c>
      <c r="H67" s="35" t="str">
        <f t="shared" si="12"/>
        <v xml:space="preserve"> -Railage (Gaborone- Francistown) moved to NPF </v>
      </c>
      <c r="J67" s="68">
        <f>C67</f>
        <v>0</v>
      </c>
      <c r="K67" s="68">
        <f>+D67</f>
        <v>0</v>
      </c>
      <c r="L67" s="68">
        <f t="shared" si="17"/>
        <v>0</v>
      </c>
      <c r="M67" s="68">
        <f t="shared" si="17"/>
        <v>0</v>
      </c>
    </row>
    <row r="68" spans="1:13" x14ac:dyDescent="0.25">
      <c r="A68" s="35" t="s">
        <v>59</v>
      </c>
      <c r="C68" s="44">
        <v>3.85</v>
      </c>
      <c r="D68" s="44">
        <v>3.85</v>
      </c>
      <c r="E68" s="44">
        <v>3.85</v>
      </c>
      <c r="F68" s="44"/>
      <c r="H68" s="33" t="str">
        <f t="shared" si="12"/>
        <v>-BERA Fee</v>
      </c>
      <c r="J68" s="44">
        <f>C68</f>
        <v>3.85</v>
      </c>
      <c r="K68" s="44">
        <f t="shared" ref="K68:L68" si="18">D68</f>
        <v>3.85</v>
      </c>
      <c r="L68" s="44">
        <f t="shared" si="18"/>
        <v>3.85</v>
      </c>
      <c r="M68" s="44"/>
    </row>
    <row r="69" spans="1:13" ht="13" x14ac:dyDescent="0.3">
      <c r="A69" s="48" t="s">
        <v>37</v>
      </c>
      <c r="C69" s="49">
        <f>+C51</f>
        <v>865.69672719999994</v>
      </c>
      <c r="D69" s="49">
        <f>+D51</f>
        <v>891.01472719999992</v>
      </c>
      <c r="E69" s="49">
        <f>+E51</f>
        <v>917.57072719999996</v>
      </c>
      <c r="F69" s="49">
        <f>+F51</f>
        <v>859.23533969999994</v>
      </c>
      <c r="H69" s="48" t="str">
        <f>A69</f>
        <v>- IMPORT PARITY GABORONE</v>
      </c>
      <c r="J69" s="68">
        <f>+J51</f>
        <v>865.69672719999994</v>
      </c>
      <c r="K69" s="68">
        <f>+K51</f>
        <v>891.01472719999992</v>
      </c>
      <c r="L69" s="68">
        <f>+L51</f>
        <v>917.57072719999996</v>
      </c>
      <c r="M69" s="68">
        <f>+M51</f>
        <v>859.23533969999994</v>
      </c>
    </row>
    <row r="70" spans="1:13" ht="13.5" thickBot="1" x14ac:dyDescent="0.35">
      <c r="A70" s="35"/>
      <c r="C70" s="68"/>
      <c r="D70" s="68"/>
      <c r="E70" s="67"/>
      <c r="F70" s="89"/>
      <c r="H70" s="35"/>
      <c r="J70" s="68"/>
      <c r="K70" s="68"/>
      <c r="L70" s="68"/>
      <c r="M70" s="89"/>
    </row>
    <row r="71" spans="1:13" ht="13.5" thickBot="1" x14ac:dyDescent="0.35">
      <c r="A71" s="36" t="s">
        <v>49</v>
      </c>
      <c r="B71" s="37"/>
      <c r="C71" s="29">
        <f>ROUND(+C56-SUM(C57:C70),3)</f>
        <v>181.36600000000001</v>
      </c>
      <c r="D71" s="29">
        <f>ROUND(+D56-SUM(D57:D70),3)</f>
        <v>181.048</v>
      </c>
      <c r="E71" s="29">
        <f>ROUND(+E56-SUM(E57:E70),3)</f>
        <v>166.49199999999999</v>
      </c>
      <c r="F71" s="29">
        <f>ROUND(+F56-SUM(F57:F70),3)</f>
        <v>275.685</v>
      </c>
      <c r="H71" s="36" t="str">
        <f>A71</f>
        <v>Unit  Over/(Under)  Recovery thebe/litre (BFP Basis)</v>
      </c>
      <c r="I71" s="37"/>
      <c r="J71" s="29">
        <f>ROUND(+J56-SUM(J57:J70),3)</f>
        <v>75.366</v>
      </c>
      <c r="K71" s="29">
        <f>ROUND(+K56-SUM(K57:K70),3)</f>
        <v>74.048000000000002</v>
      </c>
      <c r="L71" s="29">
        <f>ROUND(+L56-SUM(L57:L70),3)</f>
        <v>71.492000000000004</v>
      </c>
      <c r="M71" s="29">
        <f>ROUND(+M56-SUM(M57:M70),3)</f>
        <v>73.685000000000002</v>
      </c>
    </row>
    <row r="72" spans="1:13" x14ac:dyDescent="0.25">
      <c r="C72" s="43" t="str">
        <f t="shared" ref="C72:F73" si="19">C1</f>
        <v>Mogas</v>
      </c>
      <c r="D72" s="43" t="str">
        <f t="shared" si="19"/>
        <v>Mogas</v>
      </c>
      <c r="E72" s="43" t="str">
        <f t="shared" si="19"/>
        <v>Gasoil</v>
      </c>
      <c r="F72" s="43" t="str">
        <f t="shared" si="19"/>
        <v>Illum</v>
      </c>
      <c r="J72" s="43" t="str">
        <f t="shared" ref="J72:M73" si="20">J1</f>
        <v>Mogas</v>
      </c>
      <c r="K72" s="43" t="str">
        <f t="shared" si="20"/>
        <v>Mogas</v>
      </c>
      <c r="L72" s="43" t="str">
        <f t="shared" si="20"/>
        <v>Gasoil</v>
      </c>
      <c r="M72" s="43" t="str">
        <f t="shared" si="20"/>
        <v>Illum</v>
      </c>
    </row>
    <row r="73" spans="1:13" x14ac:dyDescent="0.25">
      <c r="C73" s="43" t="str">
        <f t="shared" si="19"/>
        <v>93 ULP</v>
      </c>
      <c r="D73" s="43" t="str">
        <f t="shared" si="19"/>
        <v>95ULP</v>
      </c>
      <c r="E73" s="43" t="str">
        <f t="shared" si="19"/>
        <v>0.005%S</v>
      </c>
      <c r="F73" s="43" t="str">
        <f t="shared" si="19"/>
        <v xml:space="preserve"> Para.</v>
      </c>
      <c r="J73" s="43" t="str">
        <f t="shared" si="20"/>
        <v>93 ULP</v>
      </c>
      <c r="K73" s="43" t="str">
        <f t="shared" si="20"/>
        <v>95ULP</v>
      </c>
      <c r="L73" s="43" t="str">
        <f t="shared" si="20"/>
        <v>0.005%S</v>
      </c>
      <c r="M73" s="43" t="str">
        <f t="shared" si="20"/>
        <v xml:space="preserve"> Para.</v>
      </c>
    </row>
    <row r="74" spans="1:13" x14ac:dyDescent="0.25">
      <c r="C74" s="97"/>
      <c r="D74" s="97"/>
    </row>
    <row r="75" spans="1:13" x14ac:dyDescent="0.25">
      <c r="C75" s="90"/>
      <c r="D75" s="97"/>
      <c r="J75" s="90"/>
      <c r="K75" s="90"/>
      <c r="L75" s="90"/>
      <c r="M75" s="90"/>
    </row>
    <row r="76" spans="1:13" x14ac:dyDescent="0.25">
      <c r="C76" s="97"/>
      <c r="D76" s="97"/>
    </row>
    <row r="78" spans="1:13" x14ac:dyDescent="0.25">
      <c r="D78" s="97"/>
      <c r="K78" s="90"/>
    </row>
    <row r="79" spans="1:13" x14ac:dyDescent="0.25">
      <c r="C79" s="90"/>
      <c r="D79" s="90"/>
      <c r="E79" s="90"/>
      <c r="F79" s="90"/>
      <c r="K79" s="90"/>
    </row>
  </sheetData>
  <mergeCells count="4">
    <mergeCell ref="A18:F18"/>
    <mergeCell ref="H18:M18"/>
    <mergeCell ref="A19:F19"/>
    <mergeCell ref="H19:M19"/>
  </mergeCells>
  <pageMargins left="0.75" right="0.75" top="1" bottom="1" header="0.5" footer="0.5"/>
  <pageSetup paperSize="8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43250CBBA6834B95583F0B84E5F10B" ma:contentTypeVersion="12" ma:contentTypeDescription="Create a new document." ma:contentTypeScope="" ma:versionID="ec21a0450a74581a2f64c4d2dc49ce23">
  <xsd:schema xmlns:xsd="http://www.w3.org/2001/XMLSchema" xmlns:xs="http://www.w3.org/2001/XMLSchema" xmlns:p="http://schemas.microsoft.com/office/2006/metadata/properties" xmlns:ns3="a6752578-dca3-4d96-94fc-b7bd84e5b2db" xmlns:ns4="882d11e9-968f-45de-8c17-746f6703a974" targetNamespace="http://schemas.microsoft.com/office/2006/metadata/properties" ma:root="true" ma:fieldsID="872a7c7d27101a1a0c143ab7e951f187" ns3:_="" ns4:_="">
    <xsd:import namespace="a6752578-dca3-4d96-94fc-b7bd84e5b2db"/>
    <xsd:import namespace="882d11e9-968f-45de-8c17-746f6703a9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52578-dca3-4d96-94fc-b7bd84e5b2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d11e9-968f-45de-8c17-746f6703a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672989-5881-4488-9CCC-5E633191AD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A581E9-8877-4693-A3FC-576F574227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52578-dca3-4d96-94fc-b7bd84e5b2db"/>
    <ds:schemaRef ds:uri="882d11e9-968f-45de-8c17-746f6703a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6328EA-2160-4E05-9061-91E2568AEF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2024</vt:lpstr>
    </vt:vector>
  </TitlesOfParts>
  <Company>Registered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 Muller</dc:creator>
  <cp:lastModifiedBy>Merapelo Tautona</cp:lastModifiedBy>
  <cp:lastPrinted>2023-11-28T14:07:19Z</cp:lastPrinted>
  <dcterms:created xsi:type="dcterms:W3CDTF">2004-06-21T10:05:12Z</dcterms:created>
  <dcterms:modified xsi:type="dcterms:W3CDTF">2024-10-03T09:41:26Z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0x010100B343250CBBA6834B95583F0B84E5F10B</vt:lpwstr>
  </property>
</Properties>
</file>