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tswanaoil-my.sharepoint.com/personal/karabo_kgaswane_botswanaoil_co_bw/Documents/Documents 1/"/>
    </mc:Choice>
  </mc:AlternateContent>
  <xr:revisionPtr revIDLastSave="0" documentId="8_{E8E0C537-C469-4284-B863-0458B2ADB754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October 2024" sheetId="14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4" l="1"/>
  <c r="E62" i="14"/>
  <c r="C62" i="14"/>
  <c r="B12" i="14" l="1"/>
  <c r="B13" i="14"/>
  <c r="K62" i="14" l="1"/>
  <c r="L62" i="14"/>
  <c r="J62" i="14"/>
  <c r="K64" i="14"/>
  <c r="L64" i="14"/>
  <c r="M64" i="14"/>
  <c r="J64" i="14"/>
  <c r="B14" i="14" l="1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L10" i="14" l="1"/>
  <c r="C50" i="14" l="1"/>
  <c r="K56" i="14"/>
  <c r="E59" i="14"/>
  <c r="L59" i="14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H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J72" i="14"/>
  <c r="I12" i="14"/>
  <c r="C49" i="14"/>
  <c r="J49" i="14" s="1"/>
  <c r="I13" i="14"/>
  <c r="D43" i="14" l="1"/>
  <c r="H11" i="14"/>
  <c r="L31" i="14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F71" i="14" s="1"/>
  <c r="E38" i="14"/>
  <c r="E39" i="14" s="1"/>
  <c r="E41" i="14" s="1"/>
  <c r="E42" i="14" s="1"/>
  <c r="E44" i="14" s="1"/>
  <c r="E46" i="14" s="1"/>
  <c r="E47" i="14" s="1"/>
  <c r="E51" i="14" s="1"/>
  <c r="E69" i="14" s="1"/>
  <c r="E71" i="14" s="1"/>
  <c r="K38" i="14"/>
  <c r="D38" i="14"/>
  <c r="D39" i="14" s="1"/>
  <c r="D41" i="14" s="1"/>
  <c r="J32" i="14"/>
  <c r="C38" i="14"/>
  <c r="C39" i="14" s="1"/>
  <c r="C41" i="14" s="1"/>
  <c r="C42" i="14" s="1"/>
  <c r="C44" i="14" s="1"/>
  <c r="L50" i="14"/>
  <c r="M38" i="14"/>
  <c r="J38" i="14"/>
  <c r="M43" i="14"/>
  <c r="L43" i="14"/>
  <c r="K37" i="14"/>
  <c r="M37" i="14"/>
  <c r="K48" i="14"/>
  <c r="L39" i="14"/>
  <c r="L41" i="14" s="1"/>
  <c r="L42" i="14" s="1"/>
  <c r="K45" i="14"/>
  <c r="K43" i="14"/>
  <c r="J37" i="14"/>
  <c r="K39" i="14" l="1"/>
  <c r="K41" i="14" s="1"/>
  <c r="K42" i="14" s="1"/>
  <c r="K44" i="14" s="1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C46" i="14"/>
  <c r="C47" i="14" s="1"/>
  <c r="D42" i="14"/>
  <c r="D44" i="14" s="1"/>
  <c r="J44" i="14" l="1"/>
  <c r="J46" i="14" s="1"/>
  <c r="J47" i="14" s="1"/>
  <c r="J51" i="14" s="1"/>
  <c r="J69" i="14" s="1"/>
  <c r="J71" i="14" s="1"/>
  <c r="M44" i="14"/>
  <c r="M46" i="14" s="1"/>
  <c r="M47" i="14" s="1"/>
  <c r="M51" i="14" s="1"/>
  <c r="M69" i="14" s="1"/>
  <c r="M71" i="14" s="1"/>
  <c r="C51" i="14"/>
  <c r="C69" i="14" s="1"/>
  <c r="C71" i="14" s="1"/>
  <c r="K46" i="14"/>
  <c r="K47" i="14" s="1"/>
  <c r="K51" i="14" s="1"/>
  <c r="K69" i="14" s="1"/>
  <c r="K71" i="14" s="1"/>
  <c r="D46" i="14"/>
  <c r="D47" i="14" s="1"/>
  <c r="D51" i="14" s="1"/>
  <c r="D69" i="14" s="1"/>
  <c r="D71" i="14" s="1"/>
</calcChain>
</file>

<file path=xl/sharedStrings.xml><?xml version="1.0" encoding="utf-8"?>
<sst xmlns="http://schemas.openxmlformats.org/spreadsheetml/2006/main" count="76" uniqueCount="62">
  <si>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</si>
  <si>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</si>
  <si>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</si>
  <si>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</si>
  <si>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</si>
  <si>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</si>
  <si>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</si>
  <si>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</si>
  <si>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</si>
  <si>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</si>
  <si>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</si>
  <si>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</si>
  <si>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</si>
  <si>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</si>
  <si>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</si>
  <si>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</si>
  <si>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</si>
  <si>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</si>
  <si>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</si>
  <si>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</si>
  <si>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</si>
  <si>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</si>
  <si>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</si>
  <si>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</si>
  <si>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</si>
  <si>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</si>
  <si>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</si>
  <si>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</si>
  <si>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</si>
  <si>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</si>
  <si>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</si>
  <si>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</si>
  <si>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</si>
  <si>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</si>
  <si>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</si>
  <si>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</si>
  <si>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</si>
  <si>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</si>
  <si>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</si>
  <si>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</si>
  <si>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</si>
  <si>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</si>
  <si>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</si>
  <si>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</si>
  <si>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</si>
  <si>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</si>
  <si>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</si>
  <si>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</si>
  <si>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</si>
  <si>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</si>
  <si>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</si>
  <si>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</si>
  <si>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</si>
  <si>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</si>
  <si>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</si>
  <si>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</si>
  <si>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</si>
  <si>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</si>
  <si>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</si>
  <si>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</si>
  <si>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 moved to NPF </t>
  </si>
  <si>
    <t>- Depot Storage &amp; Handling - moved to NPF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</si>
</sst>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</numFmts>
  <fonts count="37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9"/>
  <sheetViews>
    <sheetView tabSelected="1" topLeftCell="A15" zoomScaleNormal="100" workbookViewId="0">
      <selection activeCell="B74" sqref="B74"/>
    </sheetView>
  </sheetViews>
  <sheetFormatPr defaultColWidth="9.1796875" defaultRowHeight="12.5" x14ac:dyDescent="0.25"/>
  <cols>
    <col min="1" max="1" width="46.81640625" style="6" customWidth="1"/>
    <col min="2" max="2" width="32.453125" style="6" customWidth="1"/>
    <col min="3" max="3" width="11.453125" style="6" customWidth="1"/>
    <col min="4" max="4" width="16" style="6" customWidth="1"/>
    <col min="5" max="5" width="11.54296875" style="6" customWidth="1"/>
    <col min="6" max="6" width="11.54296875" style="6" bestFit="1" customWidth="1"/>
    <col min="7" max="7" width="9.1796875" style="6"/>
    <col min="8" max="8" width="47.54296875" style="6" customWidth="1"/>
    <col min="9" max="9" width="9.1796875" style="6"/>
    <col min="10" max="13" width="10" style="6" bestFit="1" customWidth="1"/>
    <col min="14" max="16384" width="9.1796875" style="6"/>
  </cols>
  <sheetData>
    <row r="1" spans="1:13" ht="13.5" thickBot="1" x14ac:dyDescent="0.35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5" thickBot="1" x14ac:dyDescent="0.35">
      <c r="A2" s="73" t="s">
        <v>16</v>
      </c>
      <c r="B2" s="62" t="s">
        <v>56</v>
      </c>
      <c r="C2" s="62" t="s">
        <v>30</v>
      </c>
      <c r="D2" s="71" t="s">
        <v>44</v>
      </c>
      <c r="E2" s="62" t="s">
        <v>54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44</v>
      </c>
      <c r="L2" s="62" t="str">
        <f>E2</f>
        <v>0.005%S</v>
      </c>
      <c r="M2" s="74" t="str">
        <f>F2</f>
        <v xml:space="preserve"> Para.</v>
      </c>
    </row>
    <row r="3" spans="1:13" ht="13" x14ac:dyDescent="0.3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ht="13" x14ac:dyDescent="0.3">
      <c r="A4" s="1" t="s">
        <v>52</v>
      </c>
      <c r="B4" s="56">
        <v>7.3200000000000001E-2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7.3200000000000001E-2</v>
      </c>
      <c r="J4" s="34"/>
      <c r="K4" s="40"/>
      <c r="L4" s="39"/>
      <c r="M4" s="41"/>
    </row>
    <row r="5" spans="1:13" ht="13" x14ac:dyDescent="0.3">
      <c r="A5" s="1" t="s">
        <v>40</v>
      </c>
      <c r="B5" s="56">
        <v>0.7581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0.7581</v>
      </c>
      <c r="J5" s="34"/>
      <c r="K5" s="40"/>
      <c r="L5" s="39"/>
      <c r="M5" s="41"/>
    </row>
    <row r="6" spans="1:13" ht="13" x14ac:dyDescent="0.3">
      <c r="A6" s="1" t="s">
        <v>42</v>
      </c>
      <c r="B6" s="11">
        <v>11.5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11.5</v>
      </c>
      <c r="J6" s="34"/>
      <c r="K6" s="40"/>
      <c r="L6" s="39"/>
      <c r="M6" s="41"/>
    </row>
    <row r="7" spans="1:13" ht="13" x14ac:dyDescent="0.3">
      <c r="A7" s="1" t="s">
        <v>29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ht="13" x14ac:dyDescent="0.3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ht="13" x14ac:dyDescent="0.3">
      <c r="A9" s="1" t="s">
        <v>57</v>
      </c>
      <c r="B9" s="11">
        <v>198.04300000000001</v>
      </c>
      <c r="C9" s="9"/>
      <c r="D9" s="46"/>
      <c r="E9" s="9"/>
      <c r="F9" s="10"/>
      <c r="H9" s="1" t="str">
        <f t="shared" si="1"/>
        <v>Platts Freight Usc/Mt</v>
      </c>
      <c r="I9" s="77">
        <f>B9</f>
        <v>198.04300000000001</v>
      </c>
      <c r="J9" s="34"/>
      <c r="K9" s="40"/>
      <c r="L9" s="34"/>
      <c r="M9" s="47"/>
    </row>
    <row r="10" spans="1:13" ht="13" x14ac:dyDescent="0.3">
      <c r="A10" s="1" t="s">
        <v>0</v>
      </c>
      <c r="C10" s="91">
        <v>82.44</v>
      </c>
      <c r="D10" s="91">
        <v>86.54</v>
      </c>
      <c r="E10" s="91">
        <v>88.503</v>
      </c>
      <c r="F10" s="92">
        <v>88.019000000000005</v>
      </c>
      <c r="H10" s="1" t="str">
        <f t="shared" si="1"/>
        <v xml:space="preserve">Avg. FOB $Bbl </v>
      </c>
      <c r="I10" s="38"/>
      <c r="J10" s="79">
        <f>C10</f>
        <v>82.44</v>
      </c>
      <c r="K10" s="79">
        <f>D10</f>
        <v>86.54</v>
      </c>
      <c r="L10" s="79">
        <f>E10</f>
        <v>88.503</v>
      </c>
      <c r="M10" s="79">
        <f>F10</f>
        <v>88.019000000000005</v>
      </c>
    </row>
    <row r="11" spans="1:13" ht="13" x14ac:dyDescent="0.3">
      <c r="A11" s="1" t="str">
        <f>"Cargo Dues: @ NPA Tariff "&amp;B11&amp;" c/l"</f>
        <v>Cargo Dues: @ NPA Tariff 3.147 c/l</v>
      </c>
      <c r="B11" s="11">
        <v>3.1469999999999998</v>
      </c>
      <c r="C11" s="8"/>
      <c r="D11" s="62"/>
      <c r="E11" s="7"/>
      <c r="F11" s="10"/>
      <c r="H11" s="1" t="str">
        <f t="shared" si="1"/>
        <v>Cargo Dues: @ NPA Tariff 3.147 c/l</v>
      </c>
      <c r="I11" s="77">
        <f t="shared" ref="I11:I16" si="2">B11</f>
        <v>3.1469999999999998</v>
      </c>
      <c r="J11" s="34"/>
      <c r="K11" s="40"/>
      <c r="L11" s="34"/>
      <c r="M11" s="47"/>
    </row>
    <row r="12" spans="1:13" ht="12" customHeight="1" x14ac:dyDescent="0.3">
      <c r="A12" s="1" t="s">
        <v>38</v>
      </c>
      <c r="B12" s="11">
        <f>7.822</f>
        <v>7.8220000000000001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7.8220000000000001</v>
      </c>
      <c r="J12" s="34"/>
      <c r="K12" s="40"/>
      <c r="L12" s="34"/>
      <c r="M12" s="47"/>
    </row>
    <row r="13" spans="1:13" ht="13" x14ac:dyDescent="0.3">
      <c r="A13" s="65" t="s">
        <v>48</v>
      </c>
      <c r="B13" s="11">
        <f>75.291</f>
        <v>75.290999999999997</v>
      </c>
      <c r="C13" s="50"/>
      <c r="D13" s="63"/>
      <c r="E13" s="34"/>
      <c r="F13" s="10"/>
      <c r="H13" s="65" t="s">
        <v>48</v>
      </c>
      <c r="I13" s="77">
        <f t="shared" si="2"/>
        <v>75.290999999999997</v>
      </c>
      <c r="J13" s="34"/>
      <c r="K13" s="40"/>
      <c r="L13" s="34"/>
      <c r="M13" s="47"/>
    </row>
    <row r="14" spans="1:13" ht="13" x14ac:dyDescent="0.3">
      <c r="A14" s="65" t="s">
        <v>47</v>
      </c>
      <c r="B14" s="11">
        <f>8.31+5.14+0.43+0.66+8.02+1.87</f>
        <v>24.43</v>
      </c>
      <c r="C14" s="50"/>
      <c r="D14" s="63"/>
      <c r="E14" s="34"/>
      <c r="F14" s="10"/>
      <c r="H14" s="65" t="s">
        <v>47</v>
      </c>
      <c r="I14" s="77">
        <f t="shared" si="2"/>
        <v>24.43</v>
      </c>
      <c r="J14" s="34"/>
      <c r="K14" s="40"/>
      <c r="L14" s="34"/>
      <c r="M14" s="47"/>
    </row>
    <row r="15" spans="1:13" ht="13" x14ac:dyDescent="0.3">
      <c r="A15" s="1" t="s">
        <v>50</v>
      </c>
      <c r="B15" s="11">
        <v>61.295000000000002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61.295000000000002</v>
      </c>
      <c r="J15" s="77"/>
      <c r="K15" s="77"/>
      <c r="L15" s="77"/>
      <c r="M15" s="47">
        <v>95.641000000000005</v>
      </c>
    </row>
    <row r="16" spans="1:13" ht="13.5" thickBot="1" x14ac:dyDescent="0.35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5" thickBot="1" x14ac:dyDescent="0.35">
      <c r="A17" s="16"/>
      <c r="B17" s="16"/>
      <c r="D17" s="3"/>
      <c r="E17" s="17"/>
      <c r="H17" s="16"/>
      <c r="I17" s="16"/>
      <c r="K17" s="3"/>
      <c r="L17" s="17"/>
    </row>
    <row r="18" spans="1:13" ht="13" x14ac:dyDescent="0.3">
      <c r="A18" s="101" t="s">
        <v>26</v>
      </c>
      <c r="B18" s="102"/>
      <c r="C18" s="102"/>
      <c r="D18" s="102"/>
      <c r="E18" s="102"/>
      <c r="F18" s="103"/>
      <c r="H18" s="101" t="str">
        <f>A18</f>
        <v>Industry BFP Unit Rate Slate  - BOTSWANA</v>
      </c>
      <c r="I18" s="102"/>
      <c r="J18" s="102"/>
      <c r="K18" s="102"/>
      <c r="L18" s="102"/>
      <c r="M18" s="103"/>
    </row>
    <row r="19" spans="1:13" ht="13" x14ac:dyDescent="0.3">
      <c r="A19" s="104">
        <v>45566</v>
      </c>
      <c r="B19" s="105"/>
      <c r="C19" s="105"/>
      <c r="D19" s="105"/>
      <c r="E19" s="105"/>
      <c r="F19" s="106"/>
      <c r="H19" s="104">
        <f>A19</f>
        <v>45566</v>
      </c>
      <c r="I19" s="105"/>
      <c r="J19" s="105"/>
      <c r="K19" s="105"/>
      <c r="L19" s="105"/>
      <c r="M19" s="106"/>
    </row>
    <row r="20" spans="1:13" ht="13" x14ac:dyDescent="0.3">
      <c r="A20" s="80" t="str">
        <f>IF(A21=H21,"Period : 1st of Month to end of Month","1st Period from")</f>
        <v>Period : 1st of Month to end of Month</v>
      </c>
      <c r="B20" s="2"/>
      <c r="C20" s="81"/>
      <c r="E20" s="17"/>
      <c r="F20" s="82" t="s">
        <v>56</v>
      </c>
      <c r="H20" s="1" t="str">
        <f>IF(H21=A21,"Nil Period","2nd Period from")</f>
        <v>Nil Period</v>
      </c>
      <c r="I20" s="2"/>
      <c r="J20" s="81"/>
      <c r="L20" s="17"/>
      <c r="M20" s="82"/>
    </row>
    <row r="21" spans="1:13" ht="13" x14ac:dyDescent="0.3">
      <c r="A21" s="83">
        <v>45566</v>
      </c>
      <c r="B21" s="2"/>
      <c r="E21" s="17"/>
      <c r="F21" s="82"/>
      <c r="H21" s="83">
        <v>45566</v>
      </c>
      <c r="I21" s="2"/>
      <c r="K21" s="17"/>
      <c r="L21" s="17"/>
      <c r="M21" s="82"/>
    </row>
    <row r="22" spans="1:13" ht="13" x14ac:dyDescent="0.3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ht="13" x14ac:dyDescent="0.3">
      <c r="A23" s="86">
        <v>45596</v>
      </c>
      <c r="B23" s="87"/>
      <c r="C23" s="71" t="str">
        <f>C2</f>
        <v>93 ULP</v>
      </c>
      <c r="D23" s="71" t="s">
        <v>44</v>
      </c>
      <c r="E23" s="71" t="str">
        <f>E2</f>
        <v>0.005%S</v>
      </c>
      <c r="F23" s="85" t="str">
        <f>F2</f>
        <v xml:space="preserve"> Para.</v>
      </c>
      <c r="H23" s="86">
        <v>45596</v>
      </c>
      <c r="I23" s="87"/>
      <c r="J23" s="71" t="str">
        <f>C23</f>
        <v>93 ULP</v>
      </c>
      <c r="K23" s="71" t="s">
        <v>44</v>
      </c>
      <c r="L23" s="71" t="str">
        <f>E23</f>
        <v>0.005%S</v>
      </c>
      <c r="M23" s="85" t="str">
        <f>F23</f>
        <v xml:space="preserve"> Para.</v>
      </c>
    </row>
    <row r="24" spans="1:13" ht="13" x14ac:dyDescent="0.3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53</v>
      </c>
      <c r="C27" s="23">
        <f>$B4</f>
        <v>7.3200000000000001E-2</v>
      </c>
      <c r="D27" s="23">
        <f t="shared" ref="C27:D29" si="5">$B4</f>
        <v>7.3200000000000001E-2</v>
      </c>
      <c r="E27" s="54">
        <f>+$B$4</f>
        <v>7.3200000000000001E-2</v>
      </c>
      <c r="F27" s="24">
        <f>$B4</f>
        <v>7.3200000000000001E-2</v>
      </c>
      <c r="H27" s="22" t="str">
        <f t="shared" si="3"/>
        <v>Exchange rate (Avg mth BWP/$) 3 Banks Selling rate</v>
      </c>
      <c r="J27" s="23">
        <f t="shared" ref="J27:K29" si="6">$I4</f>
        <v>7.3200000000000001E-2</v>
      </c>
      <c r="K27" s="23">
        <f t="shared" si="6"/>
        <v>7.3200000000000001E-2</v>
      </c>
      <c r="L27" s="23">
        <f t="shared" ref="L27:M29" si="7">$I4</f>
        <v>7.3200000000000001E-2</v>
      </c>
      <c r="M27" s="24">
        <f t="shared" si="7"/>
        <v>7.3200000000000001E-2</v>
      </c>
    </row>
    <row r="28" spans="1:13" x14ac:dyDescent="0.25">
      <c r="A28" s="22" t="s">
        <v>28</v>
      </c>
      <c r="C28" s="23">
        <f t="shared" si="5"/>
        <v>0.7581</v>
      </c>
      <c r="D28" s="23">
        <f t="shared" si="5"/>
        <v>0.7581</v>
      </c>
      <c r="E28" s="54">
        <f>+$B$5</f>
        <v>0.7581</v>
      </c>
      <c r="F28" s="24">
        <f>$B5</f>
        <v>0.7581</v>
      </c>
      <c r="H28" s="22" t="str">
        <f t="shared" si="3"/>
        <v xml:space="preserve">Exchange rate : customs (Avg mth Rand/Pula) </v>
      </c>
      <c r="J28" s="23">
        <f t="shared" si="6"/>
        <v>0.7581</v>
      </c>
      <c r="K28" s="23">
        <f t="shared" si="6"/>
        <v>0.7581</v>
      </c>
      <c r="L28" s="23">
        <f t="shared" si="7"/>
        <v>0.7581</v>
      </c>
      <c r="M28" s="24">
        <f t="shared" si="7"/>
        <v>0.7581</v>
      </c>
    </row>
    <row r="29" spans="1:13" x14ac:dyDescent="0.25">
      <c r="A29" s="22" t="str">
        <f>+A6</f>
        <v>SA Standard Bank Prime Average for month</v>
      </c>
      <c r="C29" s="25">
        <f t="shared" si="5"/>
        <v>11.5</v>
      </c>
      <c r="D29" s="25">
        <f t="shared" si="5"/>
        <v>11.5</v>
      </c>
      <c r="E29" s="55">
        <f>+$B$6</f>
        <v>11.5</v>
      </c>
      <c r="F29" s="26">
        <f>$B6</f>
        <v>11.5</v>
      </c>
      <c r="H29" s="22" t="str">
        <f t="shared" si="3"/>
        <v>SA Standard Bank Prime Average for month</v>
      </c>
      <c r="J29" s="25">
        <f t="shared" si="6"/>
        <v>11.5</v>
      </c>
      <c r="K29" s="25">
        <f t="shared" si="6"/>
        <v>11.5</v>
      </c>
      <c r="L29" s="25">
        <f t="shared" si="7"/>
        <v>11.5</v>
      </c>
      <c r="M29" s="26">
        <f t="shared" si="7"/>
        <v>11.5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58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57</v>
      </c>
      <c r="C33" s="25">
        <f>B9</f>
        <v>198.04300000000001</v>
      </c>
      <c r="D33" s="25">
        <f>B9</f>
        <v>198.04300000000001</v>
      </c>
      <c r="E33" s="25">
        <f>B9</f>
        <v>198.04300000000001</v>
      </c>
      <c r="F33" s="25">
        <f>B9</f>
        <v>198.04300000000001</v>
      </c>
      <c r="H33" s="22" t="str">
        <f t="shared" si="3"/>
        <v>Platts Freight Usc/Mt</v>
      </c>
      <c r="J33" s="25">
        <f>B9</f>
        <v>198.04300000000001</v>
      </c>
      <c r="K33" s="25">
        <f>B9</f>
        <v>198.04300000000001</v>
      </c>
      <c r="L33" s="25">
        <f>B9</f>
        <v>198.04300000000001</v>
      </c>
      <c r="M33" s="25">
        <f>B9</f>
        <v>198.04300000000001</v>
      </c>
    </row>
    <row r="34" spans="1:13" x14ac:dyDescent="0.25">
      <c r="A34" s="22" t="s">
        <v>21</v>
      </c>
      <c r="C34" s="25">
        <f>C35/42*100</f>
        <v>196.28571428571428</v>
      </c>
      <c r="D34" s="25">
        <f>D35/42*100</f>
        <v>206.04761904761909</v>
      </c>
      <c r="E34" s="25">
        <f>E35/42*100</f>
        <v>210.72142857142859</v>
      </c>
      <c r="F34" s="26">
        <f>F35/42*100</f>
        <v>209.56904761904761</v>
      </c>
      <c r="H34" s="22" t="str">
        <f t="shared" si="3"/>
        <v>Avg. FOB - USc/USg ($Bbl /42=USc/US gal.)</v>
      </c>
      <c r="J34" s="25">
        <f>J35/42*100</f>
        <v>196.28571428571428</v>
      </c>
      <c r="K34" s="25">
        <f>K35/42*100</f>
        <v>206.04761904761909</v>
      </c>
      <c r="L34" s="25">
        <f>L35/42*100</f>
        <v>210.72142857142859</v>
      </c>
      <c r="M34" s="26">
        <f>M35/42*100</f>
        <v>209.56904761904761</v>
      </c>
    </row>
    <row r="35" spans="1:13" x14ac:dyDescent="0.25">
      <c r="A35" s="22" t="s">
        <v>0</v>
      </c>
      <c r="C35" s="25">
        <f>C10</f>
        <v>82.44</v>
      </c>
      <c r="D35" s="25">
        <f>D10</f>
        <v>86.54</v>
      </c>
      <c r="E35" s="55">
        <f>+E10</f>
        <v>88.503</v>
      </c>
      <c r="F35" s="55">
        <f>+F10</f>
        <v>88.019000000000005</v>
      </c>
      <c r="H35" s="22" t="str">
        <f t="shared" si="3"/>
        <v xml:space="preserve">Avg. FOB $Bbl </v>
      </c>
      <c r="J35" s="25">
        <f>J10</f>
        <v>82.44</v>
      </c>
      <c r="K35" s="25">
        <f>K10</f>
        <v>86.54</v>
      </c>
      <c r="L35" s="25">
        <f>L10</f>
        <v>88.503</v>
      </c>
      <c r="M35" s="26">
        <f>M10</f>
        <v>88.019000000000005</v>
      </c>
    </row>
    <row r="36" spans="1:13" ht="13" x14ac:dyDescent="0.3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27</v>
      </c>
      <c r="C37" s="25">
        <f>ROUND((C34/(C27*C26)),3)</f>
        <v>704.73</v>
      </c>
      <c r="D37" s="25">
        <f>ROUND((D34/(D27*D26)),3)</f>
        <v>739.779</v>
      </c>
      <c r="E37" s="25">
        <f>ROUND((E34/(E27*E26)),3)</f>
        <v>757.35500000000002</v>
      </c>
      <c r="F37" s="25">
        <f>ROUND((F34/(F27*F26)),3)</f>
        <v>752.81799999999998</v>
      </c>
      <c r="H37" s="22" t="str">
        <f t="shared" si="3"/>
        <v>F.O.B.-Botswana thebe/litre</v>
      </c>
      <c r="J37" s="25">
        <f>ROUND((J34/(J27*J26)),3)</f>
        <v>704.73</v>
      </c>
      <c r="K37" s="25">
        <f>ROUND((K34/(K27*K26)),3)</f>
        <v>739.779</v>
      </c>
      <c r="L37" s="25">
        <f>ROUND((L34/(L27*L26)),3)</f>
        <v>757.35500000000002</v>
      </c>
      <c r="M37" s="25">
        <f>ROUND((M34/(M27*M26)),3)</f>
        <v>752.81799999999998</v>
      </c>
    </row>
    <row r="38" spans="1:13" x14ac:dyDescent="0.25">
      <c r="A38" s="22" t="s">
        <v>9</v>
      </c>
      <c r="C38" s="25">
        <f>ROUND(((C32*C33*C25/C27)/100000),3)</f>
        <v>46.895000000000003</v>
      </c>
      <c r="D38" s="25">
        <f>ROUND(((D32*D33*D25/D27)/100000),3)</f>
        <v>46.895000000000003</v>
      </c>
      <c r="E38" s="25">
        <f>ROUND(((E32*E33*E25/E27)/100000),3)</f>
        <v>50.83</v>
      </c>
      <c r="F38" s="25">
        <f>ROUND(((F32*F33*F25/F27)/100000),3)</f>
        <v>48.408999999999999</v>
      </c>
      <c r="H38" s="22" t="str">
        <f t="shared" si="3"/>
        <v>Freight plus demurrage</v>
      </c>
      <c r="J38" s="25">
        <f>ROUND(((J32*J33*J25/J27)/100000),3)</f>
        <v>46.895000000000003</v>
      </c>
      <c r="K38" s="25">
        <f>ROUND(((K32*K33*K25/K27)/100000),3)</f>
        <v>46.895000000000003</v>
      </c>
      <c r="L38" s="25">
        <f>ROUND(((L32*L33*L25/L27)/100000),3)</f>
        <v>50.83</v>
      </c>
      <c r="M38" s="25">
        <f>ROUND(((M32*M33*M25/M27)/100000),3)</f>
        <v>48.408999999999999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1.127</v>
      </c>
      <c r="D39" s="25">
        <f>ROUND(((D37+D38)*D16/100),3)</f>
        <v>1.18</v>
      </c>
      <c r="E39" s="25">
        <f>ROUND(((E37+E38)*E16/100),3)</f>
        <v>1.212</v>
      </c>
      <c r="F39" s="26">
        <f>ROUND(((F37+F38)*F16/100),3)</f>
        <v>1.202</v>
      </c>
      <c r="H39" s="22" t="str">
        <f t="shared" si="3"/>
        <v>Insurance: 0.15% of FOB + Freight</v>
      </c>
      <c r="J39" s="25">
        <f>ROUND(((J37+J38)*J16/100),3)</f>
        <v>1.127</v>
      </c>
      <c r="K39" s="25">
        <f>ROUND(((K37+K38)*K16/100),3)</f>
        <v>1.18</v>
      </c>
      <c r="L39" s="25">
        <f>ROUND(((L37+L38)*L16/100),3)</f>
        <v>1.212</v>
      </c>
      <c r="M39" s="26">
        <f>ROUND(((M37+M38)*M16/100),3)</f>
        <v>1.202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ht="13" x14ac:dyDescent="0.3">
      <c r="A41" s="18" t="s">
        <v>10</v>
      </c>
      <c r="B41" s="16"/>
      <c r="C41" s="27">
        <f>SUM(C37:C40)</f>
        <v>752.75199999999995</v>
      </c>
      <c r="D41" s="27">
        <f>SUM(D37:D40)</f>
        <v>787.85399999999993</v>
      </c>
      <c r="E41" s="27">
        <f>SUM(E37:E40)</f>
        <v>809.39700000000005</v>
      </c>
      <c r="F41" s="28">
        <f>SUM(F37:F40)</f>
        <v>802.42899999999997</v>
      </c>
      <c r="H41" s="18" t="str">
        <f t="shared" ref="H41:H47" si="10">A41</f>
        <v>C.I.F.</v>
      </c>
      <c r="I41" s="16"/>
      <c r="J41" s="27">
        <f>SUM(J37:J40)</f>
        <v>752.75199999999995</v>
      </c>
      <c r="K41" s="27">
        <f>SUM(K37:K40)</f>
        <v>787.85399999999993</v>
      </c>
      <c r="L41" s="27">
        <f>SUM(L37:L40)</f>
        <v>809.39700000000005</v>
      </c>
      <c r="M41" s="28">
        <f>SUM(M37:M40)</f>
        <v>802.42899999999997</v>
      </c>
    </row>
    <row r="42" spans="1:13" x14ac:dyDescent="0.25">
      <c r="A42" s="22" t="s">
        <v>22</v>
      </c>
      <c r="C42" s="25">
        <f>ROUND(((C41/100)*0.3),3)</f>
        <v>2.258</v>
      </c>
      <c r="D42" s="25">
        <f>ROUND(((D41/100)*0.3),3)</f>
        <v>2.3639999999999999</v>
      </c>
      <c r="E42" s="25">
        <f>ROUND(((E41/100)*0.3),3)</f>
        <v>2.4279999999999999</v>
      </c>
      <c r="F42" s="26">
        <f>ROUND(((F41/100)*0.3),3)</f>
        <v>2.407</v>
      </c>
      <c r="H42" s="22" t="str">
        <f t="shared" si="10"/>
        <v>Ocean Leakage: 0.3% of CIF</v>
      </c>
      <c r="J42" s="25">
        <f>ROUND(((J41/100)*0.3),3)</f>
        <v>2.258</v>
      </c>
      <c r="K42" s="25">
        <f>ROUND(((K41/100)*0.3),3)</f>
        <v>2.3639999999999999</v>
      </c>
      <c r="L42" s="25">
        <f>ROUND(((L41/100)*0.3),3)</f>
        <v>2.4279999999999999</v>
      </c>
      <c r="M42" s="26">
        <f>ROUND(((M41/100)*0.3),3)</f>
        <v>2.407</v>
      </c>
    </row>
    <row r="43" spans="1:13" x14ac:dyDescent="0.25">
      <c r="A43" s="22" t="str">
        <f>+A11</f>
        <v>Cargo Dues: @ NPA Tariff 3.147 c/l</v>
      </c>
      <c r="C43" s="25">
        <f>$B11*C28</f>
        <v>2.3857406999999999</v>
      </c>
      <c r="D43" s="25">
        <f>$I11*D28</f>
        <v>2.3857406999999999</v>
      </c>
      <c r="E43" s="25">
        <f>$B11*E28</f>
        <v>2.3857406999999999</v>
      </c>
      <c r="F43" s="25">
        <f>$B11*F28</f>
        <v>2.3857406999999999</v>
      </c>
      <c r="H43" s="22" t="str">
        <f t="shared" si="10"/>
        <v>Cargo Dues: @ NPA Tariff 3.147 c/l</v>
      </c>
      <c r="J43" s="25">
        <f>$I11*J28</f>
        <v>2.3857406999999999</v>
      </c>
      <c r="K43" s="25">
        <f>$I11*K28</f>
        <v>2.3857406999999999</v>
      </c>
      <c r="L43" s="25">
        <f>$I11*L28</f>
        <v>2.3857406999999999</v>
      </c>
      <c r="M43" s="25">
        <f>$I11*M28</f>
        <v>2.3857406999999999</v>
      </c>
    </row>
    <row r="44" spans="1:13" x14ac:dyDescent="0.25">
      <c r="A44" s="22" t="s">
        <v>23</v>
      </c>
      <c r="C44" s="25">
        <f>SUM(C41:C43)</f>
        <v>757.39574070000003</v>
      </c>
      <c r="D44" s="25">
        <f>SUM(D41:D43)</f>
        <v>792.6037407</v>
      </c>
      <c r="E44" s="25">
        <f>SUM(E41:E43)</f>
        <v>814.21074070000009</v>
      </c>
      <c r="F44" s="26">
        <f>SUM(F41:F43)</f>
        <v>807.22174070000005</v>
      </c>
      <c r="H44" s="22" t="str">
        <f t="shared" si="10"/>
        <v>Landed Cost at Durban</v>
      </c>
      <c r="J44" s="25">
        <f>SUM(J41:J43)</f>
        <v>757.39574070000003</v>
      </c>
      <c r="K44" s="25">
        <f>SUM(K41:K43)</f>
        <v>792.6037407</v>
      </c>
      <c r="L44" s="25">
        <f>SUM(L41:L43)</f>
        <v>814.21074070000009</v>
      </c>
      <c r="M44" s="26">
        <f>SUM(M41:M43)</f>
        <v>807.22174070000005</v>
      </c>
    </row>
    <row r="45" spans="1:13" x14ac:dyDescent="0.25">
      <c r="A45" s="22" t="s">
        <v>11</v>
      </c>
      <c r="C45" s="25">
        <f>$B12*C28</f>
        <v>5.9298582</v>
      </c>
      <c r="D45" s="25">
        <f>$I12*D28</f>
        <v>5.9298582</v>
      </c>
      <c r="E45" s="25">
        <f>$B12*E28</f>
        <v>5.9298582</v>
      </c>
      <c r="F45" s="25">
        <f>$B12*F28</f>
        <v>5.9298582</v>
      </c>
      <c r="H45" s="22" t="str">
        <f t="shared" si="10"/>
        <v>Coastal Storage</v>
      </c>
      <c r="J45" s="25">
        <f>$I12*J28</f>
        <v>5.9298582</v>
      </c>
      <c r="K45" s="25">
        <f>$I12*K28</f>
        <v>5.9298582</v>
      </c>
      <c r="L45" s="25">
        <f>$I12*L28</f>
        <v>5.9298582</v>
      </c>
      <c r="M45" s="25">
        <f>$I12*M28</f>
        <v>5.9298582</v>
      </c>
    </row>
    <row r="46" spans="1:13" x14ac:dyDescent="0.25">
      <c r="A46" s="22" t="s">
        <v>12</v>
      </c>
      <c r="C46" s="25">
        <f>ROUND((C44*(100+C29-2)/100-C44)/365*25,3)</f>
        <v>4.9279999999999999</v>
      </c>
      <c r="D46" s="25">
        <f>ROUND((D44*(100+D29-2)/100-D44)/365*25,3)</f>
        <v>5.157</v>
      </c>
      <c r="E46" s="25">
        <f>ROUND((E44*(100+E29-2)/100-E44)/365*25,3)</f>
        <v>5.298</v>
      </c>
      <c r="F46" s="26">
        <f>ROUND((F44*(100+F29-2)/100-F44)/365*25,3)</f>
        <v>5.2519999999999998</v>
      </c>
      <c r="H46" s="22" t="str">
        <f t="shared" si="10"/>
        <v>Coastal Stock Financing Cost</v>
      </c>
      <c r="J46" s="25">
        <f>ROUND((J44*(100+J29-2)/100-J44)/365*25,3)</f>
        <v>4.9279999999999999</v>
      </c>
      <c r="K46" s="25">
        <f>ROUND((K44*(100+K29-2)/100-K44)/365*25,3)</f>
        <v>5.157</v>
      </c>
      <c r="L46" s="25">
        <f>ROUND((L44*(100+L29-2)/100-L44)/365*25,3)</f>
        <v>5.298</v>
      </c>
      <c r="M46" s="26">
        <f>ROUND((M44*(100+M29-2)/100-M44)/365*25,3)</f>
        <v>5.2519999999999998</v>
      </c>
    </row>
    <row r="47" spans="1:13" ht="13" x14ac:dyDescent="0.3">
      <c r="A47" s="1" t="s">
        <v>39</v>
      </c>
      <c r="B47" s="2"/>
      <c r="C47" s="27">
        <f>ROUND(SUM(C44:C46),3)</f>
        <v>768.25400000000002</v>
      </c>
      <c r="D47" s="27">
        <f>ROUND(SUM(D44:D46),3)</f>
        <v>803.69100000000003</v>
      </c>
      <c r="E47" s="27">
        <f>ROUND(SUM(E44:E46),3)</f>
        <v>825.43899999999996</v>
      </c>
      <c r="F47" s="28">
        <f>ROUND(SUM(F44:F46),3)</f>
        <v>818.404</v>
      </c>
      <c r="H47" s="1" t="str">
        <f t="shared" si="10"/>
        <v>Basic Fuels Price at Durban thebe /litre</v>
      </c>
      <c r="I47" s="2"/>
      <c r="J47" s="27">
        <f>ROUND(SUM(J44:J46),3)</f>
        <v>768.25400000000002</v>
      </c>
      <c r="K47" s="27">
        <f>ROUND(SUM(K44:K46),3)</f>
        <v>803.69100000000003</v>
      </c>
      <c r="L47" s="27">
        <f>ROUND(SUM(L44:L46),3)</f>
        <v>825.43899999999996</v>
      </c>
      <c r="M47" s="28">
        <f>ROUND(SUM(M44:M46),3)</f>
        <v>818.404</v>
      </c>
    </row>
    <row r="48" spans="1:13" ht="13" x14ac:dyDescent="0.3">
      <c r="A48" s="57" t="s">
        <v>45</v>
      </c>
      <c r="B48" s="2"/>
      <c r="C48" s="59">
        <f>B13*B5</f>
        <v>57.078107099999997</v>
      </c>
      <c r="D48" s="59">
        <f>C48</f>
        <v>57.078107099999997</v>
      </c>
      <c r="E48" s="59">
        <f>C48</f>
        <v>57.078107099999997</v>
      </c>
      <c r="F48" s="66"/>
      <c r="H48" s="57" t="s">
        <v>45</v>
      </c>
      <c r="I48" s="2"/>
      <c r="J48" s="59">
        <f>I13*I5</f>
        <v>57.078107099999997</v>
      </c>
      <c r="K48" s="59">
        <f>J48</f>
        <v>57.078107099999997</v>
      </c>
      <c r="L48" s="59">
        <f>J48</f>
        <v>57.078107099999997</v>
      </c>
      <c r="M48" s="27"/>
    </row>
    <row r="49" spans="1:13" ht="13" x14ac:dyDescent="0.3">
      <c r="A49" s="57" t="s">
        <v>46</v>
      </c>
      <c r="B49" s="2"/>
      <c r="C49" s="59">
        <f>+B14*B5</f>
        <v>18.520382999999999</v>
      </c>
      <c r="D49" s="59">
        <f>C49</f>
        <v>18.520382999999999</v>
      </c>
      <c r="E49" s="59">
        <f>C49</f>
        <v>18.520382999999999</v>
      </c>
      <c r="F49" s="66"/>
      <c r="H49" s="57" t="s">
        <v>46</v>
      </c>
      <c r="I49" s="2"/>
      <c r="J49" s="27">
        <f>+C49</f>
        <v>18.520382999999999</v>
      </c>
      <c r="K49" s="27">
        <f>+D49</f>
        <v>18.520382999999999</v>
      </c>
      <c r="L49" s="27">
        <f>+E49</f>
        <v>18.520382999999999</v>
      </c>
      <c r="M49" s="66"/>
    </row>
    <row r="50" spans="1:13" ht="13.5" thickBot="1" x14ac:dyDescent="0.35">
      <c r="A50" s="57" t="s">
        <v>51</v>
      </c>
      <c r="B50" s="58"/>
      <c r="C50" s="59">
        <f>+B15*B5</f>
        <v>46.4677395</v>
      </c>
      <c r="D50" s="59">
        <f>C50</f>
        <v>46.4677395</v>
      </c>
      <c r="E50" s="59">
        <f>C50</f>
        <v>46.4677395</v>
      </c>
      <c r="F50" s="59">
        <f>+F15*B5</f>
        <v>72.50544210000001</v>
      </c>
      <c r="G50" s="58"/>
      <c r="H50" s="57" t="str">
        <f>A50</f>
        <v>Railage Tarlton/Gaborone thebe/litre</v>
      </c>
      <c r="I50" s="58"/>
      <c r="J50" s="59">
        <f>+I15*I5</f>
        <v>46.4677395</v>
      </c>
      <c r="K50" s="60">
        <f>J50</f>
        <v>46.4677395</v>
      </c>
      <c r="L50" s="60">
        <f>J50</f>
        <v>46.4677395</v>
      </c>
      <c r="M50" s="59">
        <f>+M15*I5</f>
        <v>72.50544210000001</v>
      </c>
    </row>
    <row r="51" spans="1:13" ht="13.5" thickBot="1" x14ac:dyDescent="0.35">
      <c r="A51" s="1" t="s">
        <v>41</v>
      </c>
      <c r="B51" s="2"/>
      <c r="C51" s="29">
        <f>SUM(C47:C50)</f>
        <v>890.32022960000006</v>
      </c>
      <c r="D51" s="29">
        <f>SUM(D47:D50)</f>
        <v>925.75722960000007</v>
      </c>
      <c r="E51" s="29">
        <f>SUM(E47:E50)</f>
        <v>947.50522960000001</v>
      </c>
      <c r="F51" s="29">
        <f>SUM(F47:F50)</f>
        <v>890.90944209999998</v>
      </c>
      <c r="H51" s="1" t="str">
        <f>A51</f>
        <v>IMPORT PARITY GABORONE thebe /litre</v>
      </c>
      <c r="I51" s="2"/>
      <c r="J51" s="29">
        <f>SUM(J47:J50)</f>
        <v>890.32022960000006</v>
      </c>
      <c r="K51" s="29">
        <f>SUM(K47:K50)</f>
        <v>925.75722960000007</v>
      </c>
      <c r="L51" s="29">
        <f>SUM(L47:L50)</f>
        <v>947.50522960000001</v>
      </c>
      <c r="M51" s="30">
        <f>SUM(M47:M50)</f>
        <v>890.90944209999998</v>
      </c>
    </row>
    <row r="52" spans="1:13" ht="13.5" thickBot="1" x14ac:dyDescent="0.35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3" ht="13.5" thickBot="1" x14ac:dyDescent="0.35">
      <c r="A53" s="22" t="s">
        <v>14</v>
      </c>
      <c r="C53" s="88">
        <v>1451</v>
      </c>
      <c r="D53" s="88">
        <v>1475</v>
      </c>
      <c r="E53" s="88">
        <v>1494</v>
      </c>
      <c r="F53" s="88">
        <v>1112</v>
      </c>
      <c r="H53" s="22" t="str">
        <f>A53</f>
        <v>Pump Prices</v>
      </c>
      <c r="J53" s="88">
        <v>1451</v>
      </c>
      <c r="K53" s="88">
        <v>1475</v>
      </c>
      <c r="L53" s="88">
        <v>1494</v>
      </c>
      <c r="M53" s="88">
        <v>1112</v>
      </c>
    </row>
    <row r="54" spans="1:13" ht="13" x14ac:dyDescent="0.3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</row>
    <row r="55" spans="1:13" ht="13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3" ht="13.5" thickBot="1" x14ac:dyDescent="0.35">
      <c r="A56" s="22" t="s">
        <v>24</v>
      </c>
      <c r="B56" s="2"/>
      <c r="C56" s="31">
        <f>C53-C54-C55</f>
        <v>1358.7360000000001</v>
      </c>
      <c r="D56" s="31">
        <f>D53-D54-D55</f>
        <v>1382.7360000000001</v>
      </c>
      <c r="E56" s="31">
        <f>E53-E54-E55</f>
        <v>1401.7360000000001</v>
      </c>
      <c r="F56" s="32">
        <f>F53-F54-F55</f>
        <v>1019.736</v>
      </c>
      <c r="H56" s="22" t="str">
        <f t="shared" ref="H56:H68" si="12">A56</f>
        <v>Wholesale selling price</v>
      </c>
      <c r="I56" s="2"/>
      <c r="J56" s="31">
        <f>J53-J54-J55</f>
        <v>1358.7360000000001</v>
      </c>
      <c r="K56" s="31">
        <f>K53-K54-K55</f>
        <v>1382.7360000000001</v>
      </c>
      <c r="L56" s="31">
        <f>L53-L54-L55</f>
        <v>1401.7360000000001</v>
      </c>
      <c r="M56" s="31">
        <f>M53-M54-M55</f>
        <v>1019.736</v>
      </c>
    </row>
    <row r="57" spans="1:13" ht="13" x14ac:dyDescent="0.3">
      <c r="A57" s="61" t="s">
        <v>43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</row>
    <row r="58" spans="1:13" ht="13" x14ac:dyDescent="0.3">
      <c r="A58" s="33" t="s">
        <v>31</v>
      </c>
      <c r="C58" s="68">
        <f>4*B5</f>
        <v>3.0324</v>
      </c>
      <c r="D58" s="68">
        <f>+C58</f>
        <v>3.0324</v>
      </c>
      <c r="E58" s="68">
        <f>+D58</f>
        <v>3.0324</v>
      </c>
      <c r="F58" s="89"/>
      <c r="H58" s="33" t="str">
        <f t="shared" si="12"/>
        <v>DUTY (at customs rate)</v>
      </c>
      <c r="J58" s="68">
        <f>+C58</f>
        <v>3.0324</v>
      </c>
      <c r="K58" s="68">
        <f>+J58</f>
        <v>3.0324</v>
      </c>
      <c r="L58" s="68">
        <f>+E58</f>
        <v>3.0324</v>
      </c>
      <c r="M58" s="68">
        <f>+F58</f>
        <v>0</v>
      </c>
    </row>
    <row r="59" spans="1:13" ht="13" x14ac:dyDescent="0.3">
      <c r="A59" s="35" t="s">
        <v>32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3" ht="13" x14ac:dyDescent="0.3">
      <c r="A60" s="35" t="s">
        <v>33</v>
      </c>
      <c r="C60" s="68">
        <v>115</v>
      </c>
      <c r="D60" s="68">
        <v>115</v>
      </c>
      <c r="E60" s="68">
        <v>115</v>
      </c>
      <c r="F60" s="89"/>
      <c r="H60" s="35" t="str">
        <f t="shared" si="12"/>
        <v>- Road Fund</v>
      </c>
      <c r="J60" s="68">
        <v>115</v>
      </c>
      <c r="K60" s="68">
        <v>115</v>
      </c>
      <c r="L60" s="68">
        <v>115</v>
      </c>
      <c r="M60" s="68"/>
    </row>
    <row r="61" spans="1:13" ht="13" x14ac:dyDescent="0.3">
      <c r="A61" s="35" t="s">
        <v>34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3" ht="13" x14ac:dyDescent="0.3">
      <c r="A62" s="35" t="s">
        <v>35</v>
      </c>
      <c r="C62" s="68">
        <f>13.5+8.6+23.8+24.1+3.35</f>
        <v>73.349999999999994</v>
      </c>
      <c r="D62" s="68">
        <f t="shared" ref="D62:E62" si="14">13.5+8.6+23.8+24.1+3.35</f>
        <v>73.349999999999994</v>
      </c>
      <c r="E62" s="68">
        <f t="shared" si="14"/>
        <v>73.349999999999994</v>
      </c>
      <c r="F62" s="89"/>
      <c r="H62" s="35" t="str">
        <f t="shared" si="12"/>
        <v>- National  Petrol Fund Levy</v>
      </c>
      <c r="J62" s="68">
        <f>C62</f>
        <v>73.349999999999994</v>
      </c>
      <c r="K62" s="68">
        <f t="shared" ref="K62:L62" si="15">D62</f>
        <v>73.349999999999994</v>
      </c>
      <c r="L62" s="68">
        <f t="shared" si="15"/>
        <v>73.349999999999994</v>
      </c>
      <c r="M62" s="68"/>
    </row>
    <row r="63" spans="1:13" ht="13" x14ac:dyDescent="0.3">
      <c r="A63" s="35" t="s">
        <v>55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3" ht="13" x14ac:dyDescent="0.3">
      <c r="A64" s="35" t="s">
        <v>61</v>
      </c>
      <c r="C64" s="68">
        <v>0</v>
      </c>
      <c r="D64" s="68">
        <v>0</v>
      </c>
      <c r="E64" s="68">
        <v>0</v>
      </c>
      <c r="F64" s="68">
        <v>0</v>
      </c>
      <c r="H64" s="35" t="str">
        <f t="shared" si="12"/>
        <v>- Depot Storage &amp; Handling - moved to NPF</v>
      </c>
      <c r="J64" s="68">
        <f>C64</f>
        <v>0</v>
      </c>
      <c r="K64" s="68">
        <f t="shared" ref="K64:M64" si="16">D64</f>
        <v>0</v>
      </c>
      <c r="L64" s="68">
        <f t="shared" si="16"/>
        <v>0</v>
      </c>
      <c r="M64" s="68">
        <f t="shared" si="16"/>
        <v>0</v>
      </c>
    </row>
    <row r="65" spans="1:13" ht="13" x14ac:dyDescent="0.3">
      <c r="A65" s="35" t="s">
        <v>25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ref="L65:M67" si="17">+E65</f>
        <v>8.8000000000000007</v>
      </c>
      <c r="M65" s="68">
        <f t="shared" si="17"/>
        <v>8.8000000000000007</v>
      </c>
    </row>
    <row r="66" spans="1:13" ht="13" x14ac:dyDescent="0.3">
      <c r="A66" s="35" t="s">
        <v>36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7"/>
        <v>4.5999999999999996</v>
      </c>
      <c r="M66" s="68">
        <f t="shared" si="17"/>
        <v>4.5999999999999996</v>
      </c>
    </row>
    <row r="67" spans="1:13" ht="13" x14ac:dyDescent="0.3">
      <c r="A67" s="35" t="s">
        <v>60</v>
      </c>
      <c r="C67" s="68">
        <v>0</v>
      </c>
      <c r="D67" s="68">
        <v>0</v>
      </c>
      <c r="E67" s="68">
        <v>0</v>
      </c>
      <c r="F67" s="68">
        <v>0</v>
      </c>
      <c r="H67" s="35" t="str">
        <f t="shared" si="12"/>
        <v xml:space="preserve"> -Railage (Gaborone- Francistown) moved to NPF </v>
      </c>
      <c r="J67" s="68">
        <f>C67</f>
        <v>0</v>
      </c>
      <c r="K67" s="68">
        <f>+D67</f>
        <v>0</v>
      </c>
      <c r="L67" s="68">
        <f t="shared" si="17"/>
        <v>0</v>
      </c>
      <c r="M67" s="68">
        <f t="shared" si="17"/>
        <v>0</v>
      </c>
    </row>
    <row r="68" spans="1:13" x14ac:dyDescent="0.25">
      <c r="A68" s="35" t="s">
        <v>59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8">D68</f>
        <v>3.85</v>
      </c>
      <c r="L68" s="44">
        <f t="shared" si="18"/>
        <v>3.85</v>
      </c>
      <c r="M68" s="44"/>
    </row>
    <row r="69" spans="1:13" ht="13" x14ac:dyDescent="0.3">
      <c r="A69" s="48" t="s">
        <v>37</v>
      </c>
      <c r="C69" s="49">
        <f>+C51</f>
        <v>890.32022960000006</v>
      </c>
      <c r="D69" s="49">
        <f>+D51</f>
        <v>925.75722960000007</v>
      </c>
      <c r="E69" s="49">
        <f>+E51</f>
        <v>947.50522960000001</v>
      </c>
      <c r="F69" s="49">
        <f>+F51</f>
        <v>890.90944209999998</v>
      </c>
      <c r="H69" s="48" t="str">
        <f>A69</f>
        <v>- IMPORT PARITY GABORONE</v>
      </c>
      <c r="J69" s="68">
        <f>+J51</f>
        <v>890.32022960000006</v>
      </c>
      <c r="K69" s="68">
        <f>+K51</f>
        <v>925.75722960000007</v>
      </c>
      <c r="L69" s="68">
        <f>+L51</f>
        <v>947.50522960000001</v>
      </c>
      <c r="M69" s="68">
        <f>+M51</f>
        <v>890.90944209999998</v>
      </c>
    </row>
    <row r="70" spans="1:13" ht="13.5" thickBot="1" x14ac:dyDescent="0.35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5" thickBot="1" x14ac:dyDescent="0.35">
      <c r="A71" s="36" t="s">
        <v>49</v>
      </c>
      <c r="B71" s="37"/>
      <c r="C71" s="29">
        <f>ROUND(+C56-SUM(C57:C70),3)</f>
        <v>47.366999999999997</v>
      </c>
      <c r="D71" s="29">
        <f>ROUND(+D56-SUM(D57:D70),3)</f>
        <v>35.93</v>
      </c>
      <c r="E71" s="29">
        <f>ROUND(+E56-SUM(E57:E70),3)</f>
        <v>38.182000000000002</v>
      </c>
      <c r="F71" s="29">
        <f>ROUND(+F56-SUM(F57:F70),3)</f>
        <v>42.011000000000003</v>
      </c>
      <c r="H71" s="36" t="str">
        <f>A71</f>
        <v>Unit  Over/(Under)  Recovery thebe/litre (BFP Basis)</v>
      </c>
      <c r="I71" s="37"/>
      <c r="J71" s="29">
        <f>ROUND(+J56-SUM(J57:J70),3)</f>
        <v>47.366999999999997</v>
      </c>
      <c r="K71" s="29">
        <f>ROUND(+K56-SUM(K57:K70),3)</f>
        <v>35.93</v>
      </c>
      <c r="L71" s="29">
        <f>ROUND(+L56-SUM(L57:L70),3)</f>
        <v>38.182000000000002</v>
      </c>
      <c r="M71" s="29">
        <f>ROUND(+M56-SUM(M57:M70),3)</f>
        <v>42.011000000000003</v>
      </c>
    </row>
    <row r="72" spans="1:13" x14ac:dyDescent="0.25">
      <c r="C72" s="43" t="str">
        <f t="shared" ref="C72:F73" si="19">C1</f>
        <v>Mogas</v>
      </c>
      <c r="D72" s="43" t="str">
        <f t="shared" si="19"/>
        <v>Mogas</v>
      </c>
      <c r="E72" s="43" t="str">
        <f t="shared" si="19"/>
        <v>Gasoil</v>
      </c>
      <c r="F72" s="43" t="str">
        <f t="shared" si="19"/>
        <v>Illum</v>
      </c>
      <c r="J72" s="43" t="str">
        <f t="shared" ref="J72:M73" si="20">J1</f>
        <v>Mogas</v>
      </c>
      <c r="K72" s="43" t="str">
        <f t="shared" si="20"/>
        <v>Mogas</v>
      </c>
      <c r="L72" s="43" t="str">
        <f t="shared" si="20"/>
        <v>Gasoil</v>
      </c>
      <c r="M72" s="43" t="str">
        <f t="shared" si="20"/>
        <v>Illum</v>
      </c>
    </row>
    <row r="73" spans="1:13" x14ac:dyDescent="0.25">
      <c r="C73" s="43" t="str">
        <f t="shared" si="19"/>
        <v>93 ULP</v>
      </c>
      <c r="D73" s="43" t="str">
        <f t="shared" si="19"/>
        <v>95ULP</v>
      </c>
      <c r="E73" s="43" t="str">
        <f t="shared" si="19"/>
        <v>0.005%S</v>
      </c>
      <c r="F73" s="43" t="str">
        <f t="shared" si="19"/>
        <v xml:space="preserve"> Para.</v>
      </c>
      <c r="J73" s="43" t="str">
        <f t="shared" si="20"/>
        <v>93 ULP</v>
      </c>
      <c r="K73" s="43" t="str">
        <f t="shared" si="20"/>
        <v>95ULP</v>
      </c>
      <c r="L73" s="43" t="str">
        <f t="shared" si="20"/>
        <v>0.005%S</v>
      </c>
      <c r="M73" s="43" t="str">
        <f t="shared" si="20"/>
        <v xml:space="preserve"> Para.</v>
      </c>
    </row>
    <row r="74" spans="1:13" x14ac:dyDescent="0.25">
      <c r="C74" s="97"/>
      <c r="D74" s="97"/>
    </row>
    <row r="75" spans="1:13" x14ac:dyDescent="0.25">
      <c r="C75" s="90"/>
      <c r="D75" s="90"/>
      <c r="E75" s="90"/>
      <c r="F75" s="90"/>
      <c r="J75" s="90"/>
      <c r="K75" s="90"/>
      <c r="L75" s="90"/>
      <c r="M75" s="90"/>
    </row>
    <row r="76" spans="1:13" x14ac:dyDescent="0.25">
      <c r="C76" s="97"/>
      <c r="D76" s="97"/>
    </row>
    <row r="77" spans="1:13" x14ac:dyDescent="0.25">
      <c r="C77" s="90"/>
      <c r="D77" s="90"/>
      <c r="E77" s="90"/>
      <c r="F77" s="90"/>
    </row>
    <row r="78" spans="1:13" x14ac:dyDescent="0.25">
      <c r="D78" s="97"/>
      <c r="K78" s="90"/>
    </row>
    <row r="79" spans="1:13" x14ac:dyDescent="0.25">
      <c r="C79" s="90"/>
      <c r="D79" s="90"/>
      <c r="E79" s="90" t="s">
        <v>56</v>
      </c>
      <c r="F79" s="90"/>
      <c r="K79" s="90"/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Karabo KGASWANE</cp:lastModifiedBy>
  <cp:lastPrinted>2023-11-28T14:07:19Z</cp:lastPrinted>
  <dcterms:created xsi:type="dcterms:W3CDTF">2004-06-21T10:05:12Z</dcterms:created>
  <dcterms:modified xsi:type="dcterms:W3CDTF">2024-11-05T09:45:48Z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